
<file path=[Content_Types].xml><?xml version="1.0" encoding="utf-8"?>
<Types xmlns="http://schemas.openxmlformats.org/package/2006/content-types">
  <Default Extension="emf" ContentType="image/x-emf"/>
  <Default Extension="png" ContentType="image/png"/>
  <Default Extension="rels" ContentType="application/vnd.openxmlformats-package.relationships+xml"/>
  <Default Extension="sigs" ContentType="application/vnd.openxmlformats-package.digital-signature-origin"/>
  <Default Extension="vml" ContentType="application/vnd.openxmlformats-officedocument.vmlDrawing"/>
  <Default Extension="xml" ContentType="application/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xl/externalLinks/externalLink2.xml" ContentType="application/vnd.openxmlformats-officedocument.spreadsheetml.externalLink+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3.xml" ContentType="application/vnd.openxmlformats-officedocument.spreadsheetml.externalLink+xml"/>
  <Override PartName="/xl/externalLinks/externalLink6.xml" ContentType="application/vnd.openxmlformats-officedocument.spreadsheetml.externalLink+xml"/>
  <Override PartName="/xl/externalLinks/externalLink4.xml" ContentType="application/vnd.openxmlformats-officedocument.spreadsheetml.externalLink+xml"/>
  <Override PartName="/docProps/app.xml" ContentType="application/vnd.openxmlformats-officedocument.extended-properties+xml"/>
  <Override PartName="/xl/externalLinks/externalLink5.xml" ContentType="application/vnd.openxmlformats-officedocument.spreadsheetml.externalLink+xml"/>
  <Override PartName="/xl/calcChain.xml" ContentType="application/vnd.openxmlformats-officedocument.spreadsheetml.calcChain+xml"/>
  <Override PartName="/_xmlsignatures/sig1.xml" ContentType="application/vnd.openxmlformats-package.digital-signature-xmlsignature+xml"/>
  <Override PartName="/_xmlsignatures/sig3.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openxmlformats.org/package/2006/relationships/digital-signature/origin" Target="_xmlsignatures/origin.sigs"/><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66925"/>
  <mc:AlternateContent xmlns:mc="http://schemas.openxmlformats.org/markup-compatibility/2006">
    <mc:Choice Requires="x15">
      <x15ac:absPath xmlns:x15ac="http://schemas.microsoft.com/office/spreadsheetml/2010/11/ac" url="C:\Users\leonardos\Documents\8. Grupo Costa\Adm &amp; Fin\Emisión de Bonos Bolsa de Valores\CNV Informes\Nov23\"/>
    </mc:Choice>
  </mc:AlternateContent>
  <xr:revisionPtr revIDLastSave="0" documentId="8_{5FCE4C49-AA0F-45DB-A9F6-88E8FC7358B1}" xr6:coauthVersionLast="47" xr6:coauthVersionMax="47" xr10:uidLastSave="{00000000-0000-0000-0000-000000000000}"/>
  <bookViews>
    <workbookView xWindow="-108" yWindow="-108" windowWidth="23256" windowHeight="12456" tabRatio="912" firstSheet="4" activeTab="4" xr2:uid="{87AB2F36-B937-B84C-B1C3-5ED8E727E0C9}"/>
  </bookViews>
  <sheets>
    <sheet name="2023" sheetId="33" state="hidden" r:id="rId1"/>
    <sheet name="2022" sheetId="32" state="hidden" r:id="rId2"/>
    <sheet name="BASE BALANCE" sheetId="31" state="hidden" r:id="rId3"/>
    <sheet name="Hoja5" sheetId="35" state="hidden" r:id="rId4"/>
    <sheet name="Est Finan" sheetId="1" r:id="rId5"/>
    <sheet name="Indice" sheetId="2" r:id="rId6"/>
    <sheet name="Nota 1" sheetId="3" r:id="rId7"/>
    <sheet name="Nota 2" sheetId="4" r:id="rId8"/>
    <sheet name="BG" sheetId="5" r:id="rId9"/>
    <sheet name="Nota 3" sheetId="6" r:id="rId10"/>
    <sheet name="Nota 4" sheetId="7" r:id="rId11"/>
    <sheet name="Nota 5" sheetId="8" r:id="rId12"/>
    <sheet name="Nota 6" sheetId="9" r:id="rId13"/>
    <sheet name="Nota 7" sheetId="10" r:id="rId14"/>
    <sheet name="Nota 8" sheetId="11" r:id="rId15"/>
    <sheet name="Nota 9" sheetId="12" r:id="rId16"/>
    <sheet name="Nota 10" sheetId="13" r:id="rId17"/>
    <sheet name="Nota 11" sheetId="14" r:id="rId18"/>
    <sheet name="Nota 12" sheetId="16" r:id="rId19"/>
    <sheet name="Nota 13" sheetId="17" r:id="rId20"/>
    <sheet name="EERR" sheetId="34" state="hidden" r:id="rId21"/>
    <sheet name="ER" sheetId="18" r:id="rId22"/>
    <sheet name="calculo flujo de caja" sheetId="36" state="hidden" r:id="rId23"/>
    <sheet name="Nota 14" sheetId="19" r:id="rId24"/>
    <sheet name="Nota 15" sheetId="20" r:id="rId25"/>
    <sheet name="Nota 16" sheetId="21" r:id="rId26"/>
    <sheet name="Nota 17" sheetId="22" r:id="rId27"/>
    <sheet name="Nota 18" sheetId="23" r:id="rId28"/>
    <sheet name="Nota 19" sheetId="24" r:id="rId29"/>
    <sheet name="Nota 20" sheetId="25" r:id="rId30"/>
    <sheet name="Nota 21" sheetId="26" r:id="rId31"/>
    <sheet name="Nota 22" sheetId="27" r:id="rId32"/>
    <sheet name="Nota 23" sheetId="28" r:id="rId33"/>
    <sheet name="EVPN" sheetId="29" r:id="rId34"/>
    <sheet name="EFE" sheetId="30" r:id="rId35"/>
  </sheets>
  <externalReferences>
    <externalReference r:id="rId36"/>
    <externalReference r:id="rId37"/>
    <externalReference r:id="rId38"/>
    <externalReference r:id="rId39"/>
    <externalReference r:id="rId40"/>
    <externalReference r:id="rId41"/>
  </externalReferences>
  <definedNames>
    <definedName name="_xlnm._FilterDatabase" localSheetId="0" hidden="1">'2023'!$A$1:$E$221</definedName>
    <definedName name="_xlnm._FilterDatabase" localSheetId="2" hidden="1">'BASE BALANCE'!$A$2:$G$230</definedName>
    <definedName name="_xlnm._FilterDatabase" localSheetId="20" hidden="1">EERR!$A$3:$H$239</definedName>
    <definedName name="_oa139">#REF!</definedName>
    <definedName name="_VA11">#REF!</definedName>
    <definedName name="AO">#REF!</definedName>
    <definedName name="az">#REF!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10" i="27" l="1"/>
  <c r="D11" i="27"/>
  <c r="D12" i="27"/>
  <c r="D9" i="27"/>
  <c r="I159" i="34" l="1"/>
  <c r="G159" i="34"/>
  <c r="H159" i="34" s="1"/>
  <c r="E159" i="34"/>
  <c r="J159" i="34" l="1"/>
  <c r="I125" i="34"/>
  <c r="G125" i="34"/>
  <c r="H125" i="34" s="1"/>
  <c r="E125" i="34"/>
  <c r="E79" i="34"/>
  <c r="I46" i="34"/>
  <c r="H46" i="34"/>
  <c r="E46" i="34"/>
  <c r="E5" i="34"/>
  <c r="E6" i="34"/>
  <c r="E7" i="34"/>
  <c r="E8" i="34"/>
  <c r="E9" i="34"/>
  <c r="E10" i="34"/>
  <c r="E11" i="34"/>
  <c r="E12" i="34"/>
  <c r="E13" i="34"/>
  <c r="E14" i="34"/>
  <c r="E15" i="34"/>
  <c r="E16" i="34"/>
  <c r="E17" i="34"/>
  <c r="E18" i="34"/>
  <c r="E19" i="34"/>
  <c r="E20" i="34"/>
  <c r="E21" i="34"/>
  <c r="E22" i="34"/>
  <c r="E23" i="34"/>
  <c r="E24" i="34"/>
  <c r="E25" i="34"/>
  <c r="E26" i="34"/>
  <c r="E27" i="34"/>
  <c r="E28" i="34"/>
  <c r="E29" i="34"/>
  <c r="E30" i="34"/>
  <c r="E31" i="34"/>
  <c r="E32" i="34"/>
  <c r="E33" i="34"/>
  <c r="E34" i="34"/>
  <c r="E35" i="34"/>
  <c r="E36" i="34"/>
  <c r="E37" i="34"/>
  <c r="E38" i="34"/>
  <c r="E39" i="34"/>
  <c r="E40" i="34"/>
  <c r="E41" i="34"/>
  <c r="E42" i="34"/>
  <c r="E43" i="34"/>
  <c r="E44" i="34"/>
  <c r="E45" i="34"/>
  <c r="E47" i="34"/>
  <c r="E48" i="34"/>
  <c r="E49" i="34"/>
  <c r="E50" i="34"/>
  <c r="E51" i="34"/>
  <c r="E52" i="34"/>
  <c r="E53" i="34"/>
  <c r="E54" i="34"/>
  <c r="E55" i="34"/>
  <c r="E56" i="34"/>
  <c r="E57" i="34"/>
  <c r="E58" i="34"/>
  <c r="E59" i="34"/>
  <c r="E60" i="34"/>
  <c r="E61" i="34"/>
  <c r="E62" i="34"/>
  <c r="E63" i="34"/>
  <c r="E64" i="34"/>
  <c r="E65" i="34"/>
  <c r="E66" i="34"/>
  <c r="E67" i="34"/>
  <c r="E68" i="34"/>
  <c r="E69" i="34"/>
  <c r="E70" i="34"/>
  <c r="E71" i="34"/>
  <c r="E72" i="34"/>
  <c r="E73" i="34"/>
  <c r="E74" i="34"/>
  <c r="E75" i="34"/>
  <c r="E76" i="34"/>
  <c r="E77" i="34"/>
  <c r="E78" i="34"/>
  <c r="E80" i="34"/>
  <c r="E81" i="34"/>
  <c r="E82" i="34"/>
  <c r="E83" i="34"/>
  <c r="E84" i="34"/>
  <c r="E85" i="34"/>
  <c r="E86" i="34"/>
  <c r="E87" i="34"/>
  <c r="E88" i="34"/>
  <c r="E89" i="34"/>
  <c r="E90" i="34"/>
  <c r="E91" i="34"/>
  <c r="E92" i="34"/>
  <c r="E93" i="34"/>
  <c r="E94" i="34"/>
  <c r="E95" i="34"/>
  <c r="E96" i="34"/>
  <c r="E97" i="34"/>
  <c r="E98" i="34"/>
  <c r="E99" i="34"/>
  <c r="E100" i="34"/>
  <c r="E101" i="34"/>
  <c r="E102" i="34"/>
  <c r="E103" i="34"/>
  <c r="E104" i="34"/>
  <c r="E105" i="34"/>
  <c r="E106" i="34"/>
  <c r="E107" i="34"/>
  <c r="E108" i="34"/>
  <c r="E109" i="34"/>
  <c r="E110" i="34"/>
  <c r="E111" i="34"/>
  <c r="E112" i="34"/>
  <c r="E113" i="34"/>
  <c r="E114" i="34"/>
  <c r="E115" i="34"/>
  <c r="E116" i="34"/>
  <c r="E117" i="34"/>
  <c r="E118" i="34"/>
  <c r="E119" i="34"/>
  <c r="E120" i="34"/>
  <c r="E121" i="34"/>
  <c r="E122" i="34"/>
  <c r="E123" i="34"/>
  <c r="E124" i="34"/>
  <c r="E126" i="34"/>
  <c r="E127" i="34"/>
  <c r="E128" i="34"/>
  <c r="E129" i="34"/>
  <c r="E130" i="34"/>
  <c r="E131" i="34"/>
  <c r="E132" i="34"/>
  <c r="E133" i="34"/>
  <c r="E134" i="34"/>
  <c r="E135" i="34"/>
  <c r="E136" i="34"/>
  <c r="E137" i="34"/>
  <c r="E138" i="34"/>
  <c r="E139" i="34"/>
  <c r="E140" i="34"/>
  <c r="E141" i="34"/>
  <c r="E142" i="34"/>
  <c r="E143" i="34"/>
  <c r="E144" i="34"/>
  <c r="E145" i="34"/>
  <c r="E146" i="34"/>
  <c r="E147" i="34"/>
  <c r="E148" i="34"/>
  <c r="E149" i="34"/>
  <c r="E150" i="34"/>
  <c r="E151" i="34"/>
  <c r="E152" i="34"/>
  <c r="E153" i="34"/>
  <c r="E154" i="34"/>
  <c r="E155" i="34"/>
  <c r="E156" i="34"/>
  <c r="E157" i="34"/>
  <c r="E158" i="34"/>
  <c r="E160" i="34"/>
  <c r="E161" i="34"/>
  <c r="E162" i="34"/>
  <c r="E163" i="34"/>
  <c r="E164" i="34"/>
  <c r="E165" i="34"/>
  <c r="E166" i="34"/>
  <c r="E167" i="34"/>
  <c r="E168" i="34"/>
  <c r="E169" i="34"/>
  <c r="E170" i="34"/>
  <c r="E171" i="34"/>
  <c r="E172" i="34"/>
  <c r="E173" i="34"/>
  <c r="E174" i="34"/>
  <c r="E175" i="34"/>
  <c r="E176" i="34"/>
  <c r="E177" i="34"/>
  <c r="E178" i="34"/>
  <c r="E179" i="34"/>
  <c r="E180" i="34"/>
  <c r="E181" i="34"/>
  <c r="E182" i="34"/>
  <c r="E183" i="34"/>
  <c r="E184" i="34"/>
  <c r="E185" i="34"/>
  <c r="E186" i="34"/>
  <c r="E187" i="34"/>
  <c r="E188" i="34"/>
  <c r="E189" i="34"/>
  <c r="E190" i="34"/>
  <c r="E191" i="34"/>
  <c r="E192" i="34"/>
  <c r="E193" i="34"/>
  <c r="E194" i="34"/>
  <c r="E195" i="34"/>
  <c r="E196" i="34"/>
  <c r="E197" i="34"/>
  <c r="E198" i="34"/>
  <c r="E199" i="34"/>
  <c r="E200" i="34"/>
  <c r="E201" i="34"/>
  <c r="E202" i="34"/>
  <c r="E203" i="34"/>
  <c r="E204" i="34"/>
  <c r="E205" i="34"/>
  <c r="E206" i="34"/>
  <c r="E207" i="34"/>
  <c r="E208" i="34"/>
  <c r="E209" i="34"/>
  <c r="E210" i="34"/>
  <c r="E211" i="34"/>
  <c r="E212" i="34"/>
  <c r="E213" i="34"/>
  <c r="E214" i="34"/>
  <c r="E215" i="34"/>
  <c r="E216" i="34"/>
  <c r="E217" i="34"/>
  <c r="E218" i="34"/>
  <c r="E219" i="34"/>
  <c r="E220" i="34"/>
  <c r="E221" i="34"/>
  <c r="E222" i="34"/>
  <c r="E223" i="34"/>
  <c r="E224" i="34"/>
  <c r="E225" i="34"/>
  <c r="E226" i="34"/>
  <c r="E227" i="34"/>
  <c r="E228" i="34"/>
  <c r="E229" i="34"/>
  <c r="E230" i="34"/>
  <c r="E231" i="34"/>
  <c r="E232" i="34"/>
  <c r="E233" i="34"/>
  <c r="E234" i="34"/>
  <c r="E235" i="34"/>
  <c r="E236" i="34"/>
  <c r="E237" i="34"/>
  <c r="E4" i="34"/>
  <c r="B10" i="22" l="1"/>
  <c r="J125" i="34"/>
  <c r="J46" i="34"/>
  <c r="D24" i="28" l="1"/>
  <c r="G174" i="33" l="1"/>
  <c r="C174" i="33"/>
  <c r="E174" i="33" s="1"/>
  <c r="D54" i="5" l="1"/>
  <c r="G11" i="33"/>
  <c r="G12" i="33"/>
  <c r="G13" i="33"/>
  <c r="G14" i="33"/>
  <c r="G15" i="33"/>
  <c r="G16" i="33"/>
  <c r="G17" i="33"/>
  <c r="G18" i="33"/>
  <c r="G19" i="33"/>
  <c r="G20" i="33"/>
  <c r="G21" i="33"/>
  <c r="G22" i="33"/>
  <c r="G23" i="33"/>
  <c r="G24" i="33"/>
  <c r="G25" i="33"/>
  <c r="G26" i="33"/>
  <c r="G27" i="33"/>
  <c r="G28" i="33"/>
  <c r="G29" i="33"/>
  <c r="G30" i="33"/>
  <c r="G31" i="33"/>
  <c r="G32" i="33"/>
  <c r="G33" i="33"/>
  <c r="G34" i="33"/>
  <c r="G35" i="33"/>
  <c r="G36" i="33"/>
  <c r="G37" i="33"/>
  <c r="G38" i="33"/>
  <c r="G39" i="33"/>
  <c r="G40" i="33"/>
  <c r="G41" i="33"/>
  <c r="G42" i="33"/>
  <c r="G43" i="33"/>
  <c r="G44" i="33"/>
  <c r="G45" i="33"/>
  <c r="G46" i="33"/>
  <c r="G47" i="33"/>
  <c r="G48" i="33"/>
  <c r="G49" i="33"/>
  <c r="G50" i="33"/>
  <c r="G51" i="33"/>
  <c r="G52" i="33"/>
  <c r="G53" i="33"/>
  <c r="G54" i="33"/>
  <c r="G55" i="33"/>
  <c r="G56" i="33"/>
  <c r="G57" i="33"/>
  <c r="G58" i="33"/>
  <c r="G59" i="33"/>
  <c r="G60" i="33"/>
  <c r="G61" i="33"/>
  <c r="G62" i="33"/>
  <c r="G63" i="33"/>
  <c r="G64" i="33"/>
  <c r="G65" i="33"/>
  <c r="G66" i="33"/>
  <c r="G67" i="33"/>
  <c r="G68" i="33"/>
  <c r="G69" i="33"/>
  <c r="G70" i="33"/>
  <c r="G71" i="33"/>
  <c r="G72" i="33"/>
  <c r="G73" i="33"/>
  <c r="G74" i="33"/>
  <c r="G75" i="33"/>
  <c r="G76" i="33"/>
  <c r="G77" i="33"/>
  <c r="G78" i="33"/>
  <c r="G79" i="33"/>
  <c r="G80" i="33"/>
  <c r="G81" i="33"/>
  <c r="G82" i="33"/>
  <c r="G83" i="33"/>
  <c r="G84" i="33"/>
  <c r="G85" i="33"/>
  <c r="G86" i="33"/>
  <c r="G87" i="33"/>
  <c r="G88" i="33"/>
  <c r="G89" i="33"/>
  <c r="G90" i="33"/>
  <c r="G91" i="33"/>
  <c r="G92" i="33"/>
  <c r="G93" i="33"/>
  <c r="G94" i="33"/>
  <c r="G95" i="33"/>
  <c r="G96" i="33"/>
  <c r="G97" i="33"/>
  <c r="G98" i="33"/>
  <c r="G99" i="33"/>
  <c r="G100" i="33"/>
  <c r="G101" i="33"/>
  <c r="G102" i="33"/>
  <c r="G103" i="33"/>
  <c r="G104" i="33"/>
  <c r="G105" i="33"/>
  <c r="G106" i="33"/>
  <c r="G107" i="33"/>
  <c r="G108" i="33"/>
  <c r="G109" i="33"/>
  <c r="G110" i="33"/>
  <c r="G111" i="33"/>
  <c r="G112" i="33"/>
  <c r="G113" i="33"/>
  <c r="G114" i="33"/>
  <c r="G115" i="33"/>
  <c r="G116" i="33"/>
  <c r="G117" i="33"/>
  <c r="G118" i="33"/>
  <c r="G119" i="33"/>
  <c r="G120" i="33"/>
  <c r="G121" i="33"/>
  <c r="G122" i="33"/>
  <c r="G123" i="33"/>
  <c r="G124" i="33"/>
  <c r="G125" i="33"/>
  <c r="G126" i="33"/>
  <c r="G127" i="33"/>
  <c r="G128" i="33"/>
  <c r="G129" i="33"/>
  <c r="G130" i="33"/>
  <c r="G131" i="33"/>
  <c r="G132" i="33"/>
  <c r="G133" i="33"/>
  <c r="G134" i="33"/>
  <c r="G135" i="33"/>
  <c r="G136" i="33"/>
  <c r="G137" i="33"/>
  <c r="G138" i="33"/>
  <c r="G139" i="33"/>
  <c r="G140" i="33"/>
  <c r="G141" i="33"/>
  <c r="G142" i="33"/>
  <c r="G143" i="33"/>
  <c r="G144" i="33"/>
  <c r="G145" i="33"/>
  <c r="G146" i="33"/>
  <c r="G147" i="33"/>
  <c r="G148" i="33"/>
  <c r="G149" i="33"/>
  <c r="G150" i="33"/>
  <c r="G151" i="33"/>
  <c r="G152" i="33"/>
  <c r="G153" i="33"/>
  <c r="G154" i="33"/>
  <c r="G155" i="33"/>
  <c r="G156" i="33"/>
  <c r="G157" i="33"/>
  <c r="G158" i="33"/>
  <c r="G159" i="33"/>
  <c r="G160" i="33"/>
  <c r="G161" i="33"/>
  <c r="G162" i="33"/>
  <c r="G163" i="33"/>
  <c r="G164" i="33"/>
  <c r="G165" i="33"/>
  <c r="G166" i="33"/>
  <c r="G167" i="33"/>
  <c r="G168" i="33"/>
  <c r="G169" i="33"/>
  <c r="G170" i="33"/>
  <c r="G171" i="33"/>
  <c r="G172" i="33"/>
  <c r="G173" i="33"/>
  <c r="G175" i="33"/>
  <c r="G176" i="33"/>
  <c r="G177" i="33"/>
  <c r="G178" i="33"/>
  <c r="G179" i="33"/>
  <c r="G180" i="33"/>
  <c r="G181" i="33"/>
  <c r="G182" i="33"/>
  <c r="G183" i="33"/>
  <c r="G184" i="33"/>
  <c r="G185" i="33"/>
  <c r="G186" i="33"/>
  <c r="G187" i="33"/>
  <c r="G188" i="33"/>
  <c r="G189" i="33"/>
  <c r="G190" i="33"/>
  <c r="G191" i="33"/>
  <c r="G192" i="33"/>
  <c r="G193" i="33"/>
  <c r="G194" i="33"/>
  <c r="G195" i="33"/>
  <c r="G196" i="33"/>
  <c r="G197" i="33"/>
  <c r="G198" i="33"/>
  <c r="G199" i="33"/>
  <c r="G200" i="33"/>
  <c r="G201" i="33"/>
  <c r="G202" i="33"/>
  <c r="G203" i="33"/>
  <c r="G204" i="33"/>
  <c r="G205" i="33"/>
  <c r="G206" i="33"/>
  <c r="G207" i="33"/>
  <c r="G208" i="33"/>
  <c r="G209" i="33"/>
  <c r="G210" i="33"/>
  <c r="G211" i="33"/>
  <c r="G212" i="33"/>
  <c r="G213" i="33"/>
  <c r="G214" i="33"/>
  <c r="G215" i="33"/>
  <c r="G216" i="33"/>
  <c r="G217" i="33"/>
  <c r="G218" i="33"/>
  <c r="G219" i="33"/>
  <c r="G220" i="33"/>
  <c r="G2" i="33"/>
  <c r="C216" i="33"/>
  <c r="E216" i="33" s="1"/>
  <c r="C217" i="33"/>
  <c r="C218" i="33"/>
  <c r="D218" i="33" s="1"/>
  <c r="D203" i="33" s="1"/>
  <c r="C219" i="33"/>
  <c r="C220" i="33"/>
  <c r="C221" i="33"/>
  <c r="E221" i="33" s="1"/>
  <c r="B9" i="17" s="1"/>
  <c r="E245" i="34" s="1"/>
  <c r="C161" i="33"/>
  <c r="C162" i="33"/>
  <c r="C163" i="33"/>
  <c r="C164" i="33"/>
  <c r="C3" i="33"/>
  <c r="E3" i="33" s="1"/>
  <c r="C4" i="33"/>
  <c r="E4" i="33" s="1"/>
  <c r="C5" i="33"/>
  <c r="E5" i="33" s="1"/>
  <c r="C6" i="33"/>
  <c r="E6" i="33" s="1"/>
  <c r="C7" i="33"/>
  <c r="E7" i="33" s="1"/>
  <c r="C8" i="33"/>
  <c r="E8" i="33" s="1"/>
  <c r="C9" i="33"/>
  <c r="C10" i="33"/>
  <c r="E10" i="33" s="1"/>
  <c r="C11" i="33"/>
  <c r="E11" i="33" s="1"/>
  <c r="C12" i="33"/>
  <c r="D12" i="33" s="1"/>
  <c r="D9" i="33" s="1"/>
  <c r="C13" i="33"/>
  <c r="E13" i="33" s="1"/>
  <c r="C14" i="33"/>
  <c r="E14" i="33" s="1"/>
  <c r="C15" i="33"/>
  <c r="E15" i="33" s="1"/>
  <c r="C16" i="33"/>
  <c r="E16" i="33" s="1"/>
  <c r="C17" i="33"/>
  <c r="E17" i="33" s="1"/>
  <c r="C18" i="33"/>
  <c r="E18" i="33" s="1"/>
  <c r="C19" i="33"/>
  <c r="E19" i="33" s="1"/>
  <c r="C20" i="33"/>
  <c r="E20" i="33" s="1"/>
  <c r="C21" i="33"/>
  <c r="E21" i="33" s="1"/>
  <c r="C22" i="33"/>
  <c r="E22" i="33" s="1"/>
  <c r="C23" i="33"/>
  <c r="E23" i="33" s="1"/>
  <c r="C24" i="33"/>
  <c r="E24" i="33" s="1"/>
  <c r="C25" i="33"/>
  <c r="E25" i="33" s="1"/>
  <c r="C26" i="33"/>
  <c r="E26" i="33" s="1"/>
  <c r="C27" i="33"/>
  <c r="E27" i="33" s="1"/>
  <c r="C28" i="33"/>
  <c r="E28" i="33" s="1"/>
  <c r="C29" i="33"/>
  <c r="E29" i="33" s="1"/>
  <c r="C30" i="33"/>
  <c r="E30" i="33" s="1"/>
  <c r="C31" i="33"/>
  <c r="E31" i="33" s="1"/>
  <c r="C32" i="33"/>
  <c r="E32" i="33" s="1"/>
  <c r="C33" i="33"/>
  <c r="C34" i="33"/>
  <c r="E34" i="33" s="1"/>
  <c r="C35" i="33"/>
  <c r="E35" i="33" s="1"/>
  <c r="C36" i="33"/>
  <c r="E36" i="33" s="1"/>
  <c r="C37" i="33"/>
  <c r="C38" i="33"/>
  <c r="E38" i="33" s="1"/>
  <c r="C39" i="33"/>
  <c r="D39" i="33" s="1"/>
  <c r="C40" i="33"/>
  <c r="E40" i="33" s="1"/>
  <c r="C41" i="33"/>
  <c r="D41" i="33" s="1"/>
  <c r="E41" i="33" s="1"/>
  <c r="C42" i="33"/>
  <c r="E42" i="33" s="1"/>
  <c r="C43" i="33"/>
  <c r="E43" i="33" s="1"/>
  <c r="C44" i="33"/>
  <c r="E44" i="33" s="1"/>
  <c r="C45" i="33"/>
  <c r="E45" i="33" s="1"/>
  <c r="C46" i="33"/>
  <c r="E46" i="33" s="1"/>
  <c r="C47" i="33"/>
  <c r="E47" i="33" s="1"/>
  <c r="C48" i="33"/>
  <c r="E48" i="33" s="1"/>
  <c r="C49" i="33"/>
  <c r="E49" i="33" s="1"/>
  <c r="C50" i="33"/>
  <c r="E50" i="33" s="1"/>
  <c r="C51" i="33"/>
  <c r="E51" i="33" s="1"/>
  <c r="C52" i="33"/>
  <c r="E52" i="33" s="1"/>
  <c r="C53" i="33"/>
  <c r="E53" i="33" s="1"/>
  <c r="C54" i="33"/>
  <c r="D54" i="33" s="1"/>
  <c r="D55" i="33" s="1"/>
  <c r="C55" i="33"/>
  <c r="C56" i="33"/>
  <c r="E56" i="33" s="1"/>
  <c r="C57" i="33"/>
  <c r="E57" i="33" s="1"/>
  <c r="C58" i="33"/>
  <c r="E58" i="33" s="1"/>
  <c r="C59" i="33"/>
  <c r="E59" i="33" s="1"/>
  <c r="C60" i="33"/>
  <c r="E60" i="33" s="1"/>
  <c r="C61" i="33"/>
  <c r="E61" i="33" s="1"/>
  <c r="C62" i="33"/>
  <c r="E62" i="33" s="1"/>
  <c r="C63" i="33"/>
  <c r="E63" i="33" s="1"/>
  <c r="C64" i="33"/>
  <c r="E64" i="33" s="1"/>
  <c r="C65" i="33"/>
  <c r="E65" i="33" s="1"/>
  <c r="C66" i="33"/>
  <c r="E66" i="33" s="1"/>
  <c r="C67" i="33"/>
  <c r="E67" i="33" s="1"/>
  <c r="C68" i="33"/>
  <c r="C69" i="33"/>
  <c r="E69" i="33" s="1"/>
  <c r="C70" i="33"/>
  <c r="D70" i="33" s="1"/>
  <c r="D68" i="33" s="1"/>
  <c r="C71" i="33"/>
  <c r="C72" i="33"/>
  <c r="C73" i="33"/>
  <c r="C74" i="33"/>
  <c r="C75" i="33"/>
  <c r="C76" i="33"/>
  <c r="C77" i="33"/>
  <c r="C78" i="33"/>
  <c r="D78" i="33" s="1"/>
  <c r="D75" i="33" s="1"/>
  <c r="C79" i="33"/>
  <c r="D79" i="33" s="1"/>
  <c r="C80" i="33"/>
  <c r="C81" i="33"/>
  <c r="C82" i="33"/>
  <c r="C83" i="33"/>
  <c r="C84" i="33"/>
  <c r="C85" i="33"/>
  <c r="C86" i="33"/>
  <c r="C87" i="33"/>
  <c r="C88" i="33"/>
  <c r="C89" i="33"/>
  <c r="E89" i="33" s="1"/>
  <c r="C90" i="33"/>
  <c r="C91" i="33"/>
  <c r="C92" i="33"/>
  <c r="C93" i="33"/>
  <c r="C94" i="33"/>
  <c r="C95" i="33"/>
  <c r="C96" i="33"/>
  <c r="C97" i="33"/>
  <c r="C98" i="33"/>
  <c r="C99" i="33"/>
  <c r="C100" i="33"/>
  <c r="C101" i="33"/>
  <c r="C102" i="33"/>
  <c r="C103" i="33"/>
  <c r="C104" i="33"/>
  <c r="C105" i="33"/>
  <c r="C106" i="33"/>
  <c r="C107" i="33"/>
  <c r="C108" i="33"/>
  <c r="C109" i="33"/>
  <c r="C110" i="33"/>
  <c r="E110" i="33" s="1"/>
  <c r="C111" i="33"/>
  <c r="C112" i="33"/>
  <c r="C113" i="33"/>
  <c r="C114" i="33"/>
  <c r="C115" i="33"/>
  <c r="C116" i="33"/>
  <c r="C117" i="33"/>
  <c r="C118" i="33"/>
  <c r="C119" i="33"/>
  <c r="C120" i="33"/>
  <c r="C121" i="33"/>
  <c r="E121" i="33" s="1"/>
  <c r="C122" i="33"/>
  <c r="C123" i="33"/>
  <c r="D123" i="33" s="1"/>
  <c r="D122" i="33" s="1"/>
  <c r="C124" i="33"/>
  <c r="C125" i="33"/>
  <c r="C126" i="33"/>
  <c r="C127" i="33"/>
  <c r="C128" i="33"/>
  <c r="C129" i="33"/>
  <c r="C130" i="33"/>
  <c r="C131" i="33"/>
  <c r="C132" i="33"/>
  <c r="C133" i="33"/>
  <c r="C134" i="33"/>
  <c r="C135" i="33"/>
  <c r="C136" i="33"/>
  <c r="C137" i="33"/>
  <c r="C138" i="33"/>
  <c r="C139" i="33"/>
  <c r="C140" i="33"/>
  <c r="C141" i="33"/>
  <c r="C142" i="33"/>
  <c r="C143" i="33"/>
  <c r="C144" i="33"/>
  <c r="C145" i="33"/>
  <c r="C146" i="33"/>
  <c r="C147" i="33"/>
  <c r="C148" i="33"/>
  <c r="C149" i="33"/>
  <c r="C150" i="33"/>
  <c r="C151" i="33"/>
  <c r="C152" i="33"/>
  <c r="E152" i="33" s="1"/>
  <c r="C153" i="33"/>
  <c r="C154" i="33"/>
  <c r="C155" i="33"/>
  <c r="C156" i="33"/>
  <c r="C157" i="33"/>
  <c r="C158" i="33"/>
  <c r="C159" i="33"/>
  <c r="C160" i="33"/>
  <c r="C165" i="33"/>
  <c r="C166" i="33"/>
  <c r="C167" i="33"/>
  <c r="C168" i="33"/>
  <c r="C169" i="33"/>
  <c r="C170" i="33"/>
  <c r="C171" i="33"/>
  <c r="B13" i="28" s="1"/>
  <c r="C172" i="33"/>
  <c r="C173" i="33"/>
  <c r="C175" i="33"/>
  <c r="C176" i="33"/>
  <c r="C177" i="33"/>
  <c r="C178" i="33"/>
  <c r="C179" i="33"/>
  <c r="C180" i="33"/>
  <c r="C181" i="33"/>
  <c r="C182" i="33"/>
  <c r="C183" i="33"/>
  <c r="C184" i="33"/>
  <c r="C185" i="33"/>
  <c r="C186" i="33"/>
  <c r="D186" i="33" s="1"/>
  <c r="C187" i="33"/>
  <c r="D187" i="33" s="1"/>
  <c r="C188" i="33"/>
  <c r="D188" i="33" s="1"/>
  <c r="C189" i="33"/>
  <c r="C190" i="33"/>
  <c r="C191" i="33"/>
  <c r="E191" i="33" s="1"/>
  <c r="C192" i="33"/>
  <c r="E192" i="33" s="1"/>
  <c r="C193" i="33"/>
  <c r="E193" i="33" s="1"/>
  <c r="C194" i="33"/>
  <c r="E194" i="33" s="1"/>
  <c r="C195" i="33"/>
  <c r="C197" i="33"/>
  <c r="D197" i="33" s="1"/>
  <c r="C198" i="33"/>
  <c r="C199" i="33"/>
  <c r="C200" i="33"/>
  <c r="C201" i="33"/>
  <c r="C202" i="33"/>
  <c r="C203" i="33"/>
  <c r="C204" i="33"/>
  <c r="C205" i="33"/>
  <c r="C206" i="33"/>
  <c r="C207" i="33"/>
  <c r="C208" i="33"/>
  <c r="D208" i="33" s="1"/>
  <c r="C209" i="33"/>
  <c r="C210" i="33"/>
  <c r="C211" i="33"/>
  <c r="C212" i="33"/>
  <c r="E212" i="33" s="1"/>
  <c r="C213" i="33"/>
  <c r="C214" i="33"/>
  <c r="C215" i="33"/>
  <c r="E215" i="33" s="1"/>
  <c r="E68" i="33" l="1"/>
  <c r="E55" i="33"/>
  <c r="D103" i="33"/>
  <c r="D106" i="33"/>
  <c r="E106" i="33" s="1"/>
  <c r="E9" i="33"/>
  <c r="E39" i="33"/>
  <c r="D33" i="33"/>
  <c r="D219" i="33"/>
  <c r="D200" i="33" s="1"/>
  <c r="E218" i="33"/>
  <c r="D190" i="33"/>
  <c r="E190" i="33" s="1"/>
  <c r="E186" i="33"/>
  <c r="E213" i="33"/>
  <c r="D189" i="33"/>
  <c r="D181" i="33" s="1"/>
  <c r="E188" i="33"/>
  <c r="D180" i="33"/>
  <c r="E187" i="33"/>
  <c r="D179" i="33"/>
  <c r="E33" i="31"/>
  <c r="E12" i="33"/>
  <c r="E12" i="31" s="1"/>
  <c r="E54" i="33"/>
  <c r="E30" i="31"/>
  <c r="C2" i="33"/>
  <c r="E33" i="33" l="1"/>
  <c r="E220" i="33"/>
  <c r="D178" i="33"/>
  <c r="E219" i="33"/>
  <c r="E214" i="33"/>
  <c r="E189" i="33"/>
  <c r="E2" i="33"/>
  <c r="D42" i="27"/>
  <c r="D43" i="27" s="1"/>
  <c r="C43" i="27"/>
  <c r="C61" i="27"/>
  <c r="D60" i="27"/>
  <c r="D65" i="27"/>
  <c r="D47" i="27"/>
  <c r="D41" i="27"/>
  <c r="G67" i="27"/>
  <c r="G69" i="27" s="1"/>
  <c r="F67" i="27"/>
  <c r="F69" i="27" s="1"/>
  <c r="C67" i="27"/>
  <c r="D66" i="27"/>
  <c r="G49" i="27"/>
  <c r="G52" i="27" s="1"/>
  <c r="F49" i="27"/>
  <c r="F52" i="27" s="1"/>
  <c r="C49" i="27"/>
  <c r="D48" i="27"/>
  <c r="B7" i="25"/>
  <c r="D59" i="27"/>
  <c r="D40" i="27"/>
  <c r="D61" i="27" l="1"/>
  <c r="C69" i="27"/>
  <c r="C52" i="27"/>
  <c r="D49" i="27"/>
  <c r="D52" i="27" s="1"/>
  <c r="D67" i="27"/>
  <c r="D69" i="27" s="1"/>
  <c r="D22" i="27"/>
  <c r="D28" i="27"/>
  <c r="D23" i="27"/>
  <c r="E213" i="31" l="1"/>
  <c r="E199" i="31"/>
  <c r="E198" i="31"/>
  <c r="E197" i="31"/>
  <c r="E196" i="31"/>
  <c r="E182" i="31"/>
  <c r="E165" i="31"/>
  <c r="E155" i="31"/>
  <c r="E153" i="31"/>
  <c r="E152" i="31"/>
  <c r="E117" i="31"/>
  <c r="E114" i="31"/>
  <c r="E109" i="31"/>
  <c r="E89" i="31"/>
  <c r="E78" i="31"/>
  <c r="E66" i="31"/>
  <c r="E50" i="31"/>
  <c r="E28" i="31"/>
  <c r="E19" i="31"/>
  <c r="D34" i="10"/>
  <c r="D42" i="10"/>
  <c r="D39" i="10"/>
  <c r="D38" i="10"/>
  <c r="D37" i="10"/>
  <c r="D35" i="10"/>
  <c r="D14" i="19"/>
  <c r="D90" i="33"/>
  <c r="C22" i="18" l="1"/>
  <c r="B13" i="19"/>
  <c r="D151" i="33" l="1"/>
  <c r="E200" i="33" l="1"/>
  <c r="E209" i="31" s="1"/>
  <c r="E170" i="33"/>
  <c r="E179" i="31" s="1"/>
  <c r="B22" i="28" s="1"/>
  <c r="E163" i="33"/>
  <c r="E172" i="31" s="1"/>
  <c r="E142" i="33"/>
  <c r="E147" i="31" s="1"/>
  <c r="E82" i="33"/>
  <c r="E85" i="31" s="1"/>
  <c r="E78" i="33"/>
  <c r="E81" i="31" s="1"/>
  <c r="E70" i="33"/>
  <c r="E72" i="31" s="1"/>
  <c r="E63" i="31"/>
  <c r="E39" i="31"/>
  <c r="C223" i="33"/>
  <c r="D150" i="33"/>
  <c r="D223" i="33" s="1"/>
  <c r="H121" i="32"/>
  <c r="H122" i="32"/>
  <c r="G236" i="31"/>
  <c r="C35" i="30" l="1"/>
  <c r="B7" i="24"/>
  <c r="H10" i="36"/>
  <c r="M13" i="36"/>
  <c r="M33" i="36"/>
  <c r="M31" i="36"/>
  <c r="M29" i="36"/>
  <c r="M27" i="36"/>
  <c r="M24" i="36"/>
  <c r="M25" i="36"/>
  <c r="M22" i="36"/>
  <c r="M19" i="36"/>
  <c r="M18" i="36"/>
  <c r="C33" i="36"/>
  <c r="C31" i="36"/>
  <c r="C29" i="36"/>
  <c r="C27" i="36"/>
  <c r="M10" i="36"/>
  <c r="M9" i="36"/>
  <c r="M8" i="36"/>
  <c r="M7" i="36"/>
  <c r="M5" i="36"/>
  <c r="C55" i="27"/>
  <c r="D9" i="24"/>
  <c r="B6" i="24"/>
  <c r="C33" i="18" s="1"/>
  <c r="B4" i="24"/>
  <c r="C31" i="18" s="1"/>
  <c r="C41" i="36" s="1"/>
  <c r="B5" i="23"/>
  <c r="C27" i="18" s="1"/>
  <c r="B4" i="23"/>
  <c r="C26" i="18" s="1"/>
  <c r="B5" i="22"/>
  <c r="C17" i="18" s="1"/>
  <c r="B9" i="22"/>
  <c r="C21" i="18" s="1"/>
  <c r="B8" i="22"/>
  <c r="C20" i="18" s="1"/>
  <c r="B7" i="22"/>
  <c r="C19" i="18" s="1"/>
  <c r="B6" i="22"/>
  <c r="C18" i="18" s="1"/>
  <c r="B4" i="22"/>
  <c r="C16" i="18" s="1"/>
  <c r="B8" i="21"/>
  <c r="B7" i="21"/>
  <c r="B6" i="21"/>
  <c r="B5" i="21"/>
  <c r="B4" i="21"/>
  <c r="B3" i="21"/>
  <c r="B18" i="20"/>
  <c r="B17" i="20"/>
  <c r="B16" i="20"/>
  <c r="B15" i="20"/>
  <c r="B14" i="20"/>
  <c r="B13" i="20"/>
  <c r="B12" i="20"/>
  <c r="B11" i="20"/>
  <c r="B10" i="20"/>
  <c r="B9" i="20"/>
  <c r="B8" i="20"/>
  <c r="B7" i="20"/>
  <c r="B6" i="20"/>
  <c r="B5" i="20"/>
  <c r="B4" i="20"/>
  <c r="B3" i="20"/>
  <c r="B12" i="19"/>
  <c r="B11" i="19"/>
  <c r="B10" i="19"/>
  <c r="B9" i="19"/>
  <c r="B8" i="19"/>
  <c r="B7" i="19"/>
  <c r="B6" i="19"/>
  <c r="B5" i="19"/>
  <c r="B4" i="19"/>
  <c r="B3" i="19"/>
  <c r="B7" i="11"/>
  <c r="F239" i="31"/>
  <c r="B5" i="13"/>
  <c r="D34" i="5"/>
  <c r="C25" i="36" s="1"/>
  <c r="D14" i="11"/>
  <c r="D10" i="12"/>
  <c r="D24" i="12" s="1"/>
  <c r="L62" i="10"/>
  <c r="H62" i="10"/>
  <c r="F62" i="10"/>
  <c r="B62" i="10"/>
  <c r="D62" i="10"/>
  <c r="N61" i="10"/>
  <c r="N60" i="10"/>
  <c r="N59" i="10"/>
  <c r="N58" i="10"/>
  <c r="N57" i="10"/>
  <c r="N56" i="10"/>
  <c r="N55" i="10"/>
  <c r="N54" i="10"/>
  <c r="N53" i="10"/>
  <c r="N52" i="10"/>
  <c r="N51" i="10"/>
  <c r="N50" i="10"/>
  <c r="N49" i="10"/>
  <c r="D21" i="10"/>
  <c r="D20" i="10"/>
  <c r="D19" i="10"/>
  <c r="D18" i="10"/>
  <c r="D17" i="10"/>
  <c r="D16" i="10"/>
  <c r="D15" i="10"/>
  <c r="D14" i="10"/>
  <c r="D13" i="10"/>
  <c r="D12" i="10"/>
  <c r="D11" i="10"/>
  <c r="D10" i="10"/>
  <c r="D9" i="10"/>
  <c r="G237" i="31"/>
  <c r="N42" i="10"/>
  <c r="N41" i="10"/>
  <c r="N40" i="10"/>
  <c r="N39" i="10"/>
  <c r="N38" i="10"/>
  <c r="N37" i="10"/>
  <c r="N36" i="10"/>
  <c r="N35" i="10"/>
  <c r="N34" i="10"/>
  <c r="N32" i="10"/>
  <c r="N31" i="10"/>
  <c r="N30" i="10"/>
  <c r="L43" i="10"/>
  <c r="D43" i="10"/>
  <c r="J43" i="10"/>
  <c r="D18" i="8"/>
  <c r="B16" i="7"/>
  <c r="G10" i="33"/>
  <c r="G9" i="33"/>
  <c r="G8" i="33"/>
  <c r="G7" i="33"/>
  <c r="G6" i="33"/>
  <c r="G5" i="33"/>
  <c r="G4" i="33"/>
  <c r="G3" i="33"/>
  <c r="G155" i="31"/>
  <c r="G153" i="31"/>
  <c r="G152" i="31"/>
  <c r="G147" i="31"/>
  <c r="D224" i="33" l="1"/>
  <c r="E217" i="33"/>
  <c r="E160" i="31"/>
  <c r="B14" i="19"/>
  <c r="G37" i="36"/>
  <c r="G13" i="36" s="1"/>
  <c r="D22" i="10"/>
  <c r="C34" i="18"/>
  <c r="C43" i="36" s="1"/>
  <c r="C28" i="18"/>
  <c r="N62" i="10"/>
  <c r="C10" i="18" l="1"/>
  <c r="C36" i="36" s="1"/>
  <c r="E93" i="31"/>
  <c r="E243" i="31" s="1"/>
  <c r="D225" i="33"/>
  <c r="E230" i="31"/>
  <c r="E225" i="31"/>
  <c r="E224" i="31"/>
  <c r="E223" i="31"/>
  <c r="E211" i="33"/>
  <c r="E222" i="31" s="1"/>
  <c r="E210" i="33"/>
  <c r="E209" i="33"/>
  <c r="E208" i="33"/>
  <c r="E218" i="31" s="1"/>
  <c r="E207" i="33"/>
  <c r="E217" i="31" s="1"/>
  <c r="E206" i="33"/>
  <c r="E205" i="33"/>
  <c r="E204" i="33"/>
  <c r="E214" i="31" s="1"/>
  <c r="E203" i="33"/>
  <c r="E212" i="31" s="1"/>
  <c r="E202" i="33"/>
  <c r="E211" i="31" s="1"/>
  <c r="E201" i="33"/>
  <c r="E210" i="31" s="1"/>
  <c r="E199" i="33"/>
  <c r="E208" i="31" s="1"/>
  <c r="E198" i="33"/>
  <c r="E207" i="31" s="1"/>
  <c r="E197" i="33"/>
  <c r="E206" i="31" s="1"/>
  <c r="E195" i="33"/>
  <c r="E204" i="31" s="1"/>
  <c r="E203" i="31"/>
  <c r="E201" i="31"/>
  <c r="E200" i="31"/>
  <c r="E185" i="33"/>
  <c r="E195" i="31" s="1"/>
  <c r="E184" i="33"/>
  <c r="E194" i="31" s="1"/>
  <c r="E183" i="33"/>
  <c r="E193" i="31" s="1"/>
  <c r="E182" i="33"/>
  <c r="E192" i="31" s="1"/>
  <c r="E181" i="33"/>
  <c r="E191" i="31" s="1"/>
  <c r="E180" i="33"/>
  <c r="E190" i="31" s="1"/>
  <c r="E179" i="33"/>
  <c r="E189" i="31" s="1"/>
  <c r="E178" i="33"/>
  <c r="E188" i="31" s="1"/>
  <c r="E177" i="33"/>
  <c r="E176" i="33"/>
  <c r="E175" i="33"/>
  <c r="E173" i="33"/>
  <c r="E184" i="31" s="1"/>
  <c r="B5" i="12" s="1"/>
  <c r="E172" i="33"/>
  <c r="E181" i="31" s="1"/>
  <c r="B21" i="28" s="1"/>
  <c r="B6" i="11" s="1"/>
  <c r="E171" i="33"/>
  <c r="E169" i="33"/>
  <c r="E178" i="31" s="1"/>
  <c r="B20" i="28" s="1"/>
  <c r="E168" i="33"/>
  <c r="E177" i="31" s="1"/>
  <c r="E167" i="33"/>
  <c r="E176" i="31" s="1"/>
  <c r="E166" i="33"/>
  <c r="E175" i="31" s="1"/>
  <c r="E165" i="33"/>
  <c r="E174" i="31" s="1"/>
  <c r="E164" i="33"/>
  <c r="E173" i="31" s="1"/>
  <c r="E162" i="33"/>
  <c r="E171" i="31" s="1"/>
  <c r="E161" i="33"/>
  <c r="E170" i="31" s="1"/>
  <c r="E160" i="33"/>
  <c r="E169" i="31" s="1"/>
  <c r="E159" i="33"/>
  <c r="E168" i="31" s="1"/>
  <c r="E158" i="33"/>
  <c r="E167" i="31" s="1"/>
  <c r="E157" i="33"/>
  <c r="E166" i="31" s="1"/>
  <c r="E156" i="33"/>
  <c r="E164" i="31" s="1"/>
  <c r="E155" i="33"/>
  <c r="E154" i="33"/>
  <c r="E153" i="33"/>
  <c r="E151" i="33"/>
  <c r="E150" i="33"/>
  <c r="E149" i="33"/>
  <c r="E148" i="33"/>
  <c r="E147" i="33"/>
  <c r="E146" i="33"/>
  <c r="E151" i="31" s="1"/>
  <c r="E145" i="33"/>
  <c r="E144" i="33"/>
  <c r="E149" i="31" s="1"/>
  <c r="E143" i="33"/>
  <c r="E148" i="31" s="1"/>
  <c r="E141" i="33"/>
  <c r="E140" i="33"/>
  <c r="E145" i="31" s="1"/>
  <c r="E139" i="33"/>
  <c r="E138" i="33"/>
  <c r="E143" i="31" s="1"/>
  <c r="E137" i="33"/>
  <c r="E136" i="33"/>
  <c r="E141" i="31" s="1"/>
  <c r="E135" i="33"/>
  <c r="E134" i="33"/>
  <c r="E139" i="31" s="1"/>
  <c r="E133" i="33"/>
  <c r="E132" i="33"/>
  <c r="E137" i="31" s="1"/>
  <c r="E131" i="33"/>
  <c r="E130" i="33"/>
  <c r="E135" i="31" s="1"/>
  <c r="E129" i="33"/>
  <c r="E128" i="33"/>
  <c r="E133" i="31" s="1"/>
  <c r="E127" i="33"/>
  <c r="E132" i="31" s="1"/>
  <c r="E126" i="33"/>
  <c r="E125" i="33"/>
  <c r="E130" i="31" s="1"/>
  <c r="E124" i="33"/>
  <c r="E129" i="31" s="1"/>
  <c r="E123" i="33"/>
  <c r="E128" i="31" s="1"/>
  <c r="E122" i="33"/>
  <c r="E127" i="31" s="1"/>
  <c r="E126" i="31"/>
  <c r="E120" i="33"/>
  <c r="E125" i="31" s="1"/>
  <c r="E119" i="33"/>
  <c r="E124" i="31" s="1"/>
  <c r="E118" i="33"/>
  <c r="E123" i="31" s="1"/>
  <c r="E117" i="33"/>
  <c r="E116" i="33"/>
  <c r="E121" i="31" s="1"/>
  <c r="E115" i="33"/>
  <c r="E120" i="31" s="1"/>
  <c r="E114" i="33"/>
  <c r="E119" i="31" s="1"/>
  <c r="E113" i="33"/>
  <c r="E118" i="31" s="1"/>
  <c r="E112" i="33"/>
  <c r="E116" i="31" s="1"/>
  <c r="E111" i="33"/>
  <c r="E115" i="31" s="1"/>
  <c r="E109" i="33"/>
  <c r="E113" i="31" s="1"/>
  <c r="E108" i="33"/>
  <c r="E112" i="31" s="1"/>
  <c r="E107" i="33"/>
  <c r="E111" i="31" s="1"/>
  <c r="E105" i="33"/>
  <c r="E110" i="31" s="1"/>
  <c r="E104" i="33"/>
  <c r="E108" i="31" s="1"/>
  <c r="E103" i="33"/>
  <c r="E107" i="31" s="1"/>
  <c r="E102" i="33"/>
  <c r="E106" i="31" s="1"/>
  <c r="E101" i="33"/>
  <c r="E105" i="31" s="1"/>
  <c r="E100" i="33"/>
  <c r="E104" i="31" s="1"/>
  <c r="E99" i="33"/>
  <c r="E98" i="33"/>
  <c r="E97" i="33"/>
  <c r="E101" i="31" s="1"/>
  <c r="E96" i="33"/>
  <c r="E100" i="31" s="1"/>
  <c r="E95" i="33"/>
  <c r="E99" i="31" s="1"/>
  <c r="E94" i="33"/>
  <c r="E93" i="33"/>
  <c r="E92" i="33"/>
  <c r="E96" i="31" s="1"/>
  <c r="E91" i="33"/>
  <c r="E95" i="31" s="1"/>
  <c r="E90" i="33"/>
  <c r="E94" i="31" s="1"/>
  <c r="E88" i="33"/>
  <c r="E92" i="31" s="1"/>
  <c r="E87" i="33"/>
  <c r="E91" i="31" s="1"/>
  <c r="E86" i="33"/>
  <c r="E90" i="31" s="1"/>
  <c r="E85" i="33"/>
  <c r="E88" i="31" s="1"/>
  <c r="E84" i="33"/>
  <c r="E83" i="33"/>
  <c r="E81" i="33"/>
  <c r="E84" i="31" s="1"/>
  <c r="E80" i="33"/>
  <c r="E83" i="31" s="1"/>
  <c r="E79" i="33"/>
  <c r="E82" i="31" s="1"/>
  <c r="E77" i="33"/>
  <c r="E80" i="31" s="1"/>
  <c r="E76" i="33"/>
  <c r="E79" i="31" s="1"/>
  <c r="E75" i="33"/>
  <c r="E74" i="33"/>
  <c r="E76" i="31" s="1"/>
  <c r="E73" i="33"/>
  <c r="E75" i="31" s="1"/>
  <c r="E72" i="33"/>
  <c r="E74" i="31" s="1"/>
  <c r="E71" i="33"/>
  <c r="E73" i="31" s="1"/>
  <c r="E71" i="31"/>
  <c r="E70" i="31"/>
  <c r="E64" i="31"/>
  <c r="E61" i="31"/>
  <c r="E60" i="31"/>
  <c r="E59" i="31"/>
  <c r="E58" i="31"/>
  <c r="E57" i="31"/>
  <c r="E56" i="31"/>
  <c r="E55" i="31"/>
  <c r="E48" i="31"/>
  <c r="E47" i="31"/>
  <c r="E46" i="31"/>
  <c r="E43" i="31"/>
  <c r="E42" i="31"/>
  <c r="E41" i="31"/>
  <c r="E37" i="33"/>
  <c r="E38" i="31"/>
  <c r="E37" i="31"/>
  <c r="E32" i="31"/>
  <c r="E29" i="31"/>
  <c r="E27" i="31"/>
  <c r="E26" i="31"/>
  <c r="E25" i="31"/>
  <c r="E24" i="31"/>
  <c r="E23" i="31"/>
  <c r="E22" i="31"/>
  <c r="E21" i="31"/>
  <c r="E20" i="31"/>
  <c r="E18" i="31"/>
  <c r="E17" i="31"/>
  <c r="E16" i="31"/>
  <c r="E15" i="31"/>
  <c r="E14" i="31"/>
  <c r="E13" i="31"/>
  <c r="E11" i="31"/>
  <c r="E10" i="31"/>
  <c r="E9" i="31"/>
  <c r="E8" i="31"/>
  <c r="E7" i="31"/>
  <c r="E6" i="31"/>
  <c r="E5" i="31"/>
  <c r="E4" i="31"/>
  <c r="E223" i="33" l="1"/>
  <c r="F223" i="33" s="1"/>
  <c r="B15" i="19"/>
  <c r="E187" i="31"/>
  <c r="B24" i="28"/>
  <c r="B5" i="11"/>
  <c r="B4" i="11" s="1"/>
  <c r="E103" i="31"/>
  <c r="B12" i="9" s="1"/>
  <c r="E40" i="31"/>
  <c r="B4" i="6" s="1"/>
  <c r="E227" i="31"/>
  <c r="E226" i="31"/>
  <c r="E229" i="31"/>
  <c r="D46" i="5" s="1"/>
  <c r="E186" i="31"/>
  <c r="B14" i="12"/>
  <c r="E228" i="31"/>
  <c r="G228" i="31" s="1"/>
  <c r="E154" i="31"/>
  <c r="E102" i="31"/>
  <c r="B10" i="9" s="1"/>
  <c r="E122" i="31"/>
  <c r="B11" i="9" s="1"/>
  <c r="E138" i="31"/>
  <c r="G138" i="31" s="1"/>
  <c r="E146" i="31"/>
  <c r="G146" i="31" s="1"/>
  <c r="E158" i="31"/>
  <c r="G158" i="31" s="1"/>
  <c r="B15" i="8"/>
  <c r="E65" i="31"/>
  <c r="B12" i="10" s="1"/>
  <c r="E86" i="31"/>
  <c r="B12" i="8" s="1"/>
  <c r="E131" i="31"/>
  <c r="G131" i="31" s="1"/>
  <c r="E159" i="31"/>
  <c r="G159" i="31" s="1"/>
  <c r="E220" i="31"/>
  <c r="B16" i="12" s="1"/>
  <c r="E52" i="31"/>
  <c r="B8" i="7" s="1"/>
  <c r="E185" i="31"/>
  <c r="E68" i="31"/>
  <c r="B13" i="8" s="1"/>
  <c r="E87" i="31"/>
  <c r="B10" i="8" s="1"/>
  <c r="E97" i="31"/>
  <c r="B9" i="9" s="1"/>
  <c r="E140" i="31"/>
  <c r="G140" i="31" s="1"/>
  <c r="E161" i="31"/>
  <c r="E180" i="31"/>
  <c r="H180" i="31" s="1"/>
  <c r="E202" i="31"/>
  <c r="B9" i="13" s="1"/>
  <c r="E219" i="31"/>
  <c r="B17" i="12" s="1"/>
  <c r="E215" i="31"/>
  <c r="B15" i="12" s="1"/>
  <c r="E44" i="31"/>
  <c r="B6" i="7" s="1"/>
  <c r="E144" i="31"/>
  <c r="G144" i="31" s="1"/>
  <c r="E36" i="31"/>
  <c r="B8" i="6" s="1"/>
  <c r="E45" i="31"/>
  <c r="B14" i="7" s="1"/>
  <c r="E54" i="31"/>
  <c r="B10" i="7" s="1"/>
  <c r="E62" i="31"/>
  <c r="B7" i="8" s="1"/>
  <c r="E157" i="31"/>
  <c r="G157" i="31" s="1"/>
  <c r="E3" i="31"/>
  <c r="E31" i="31"/>
  <c r="B7" i="6" s="1"/>
  <c r="E49" i="31"/>
  <c r="B7" i="7" s="1"/>
  <c r="E67" i="31"/>
  <c r="B4" i="9" s="1"/>
  <c r="E77" i="31"/>
  <c r="B11" i="8" s="1"/>
  <c r="E98" i="31"/>
  <c r="B6" i="9" s="1"/>
  <c r="E150" i="31"/>
  <c r="G150" i="31" s="1"/>
  <c r="E162" i="31"/>
  <c r="B13" i="11" s="1"/>
  <c r="E221" i="31"/>
  <c r="B18" i="12" s="1"/>
  <c r="E34" i="31"/>
  <c r="B13" i="6" s="1"/>
  <c r="E35" i="31"/>
  <c r="B12" i="6" s="1"/>
  <c r="E53" i="31"/>
  <c r="B9" i="7" s="1"/>
  <c r="E136" i="31"/>
  <c r="G136" i="31" s="1"/>
  <c r="E156" i="31"/>
  <c r="G156" i="31" s="1"/>
  <c r="E51" i="31"/>
  <c r="B15" i="7" s="1"/>
  <c r="E69" i="31"/>
  <c r="B8" i="8" s="1"/>
  <c r="E134" i="31"/>
  <c r="G134" i="31" s="1"/>
  <c r="E142" i="31"/>
  <c r="G142" i="31" s="1"/>
  <c r="E163" i="31"/>
  <c r="B12" i="11" s="1"/>
  <c r="E183" i="31"/>
  <c r="B4" i="12" s="1"/>
  <c r="B13" i="13"/>
  <c r="B14" i="8"/>
  <c r="G64" i="31"/>
  <c r="G135" i="31"/>
  <c r="B9" i="11"/>
  <c r="B11" i="11"/>
  <c r="B6" i="13"/>
  <c r="B7" i="13"/>
  <c r="B4" i="13"/>
  <c r="B7" i="12"/>
  <c r="B5" i="9"/>
  <c r="B19" i="12"/>
  <c r="B21" i="12" s="1"/>
  <c r="B5" i="6"/>
  <c r="B16" i="8"/>
  <c r="B5" i="7"/>
  <c r="B6" i="8"/>
  <c r="B7" i="9"/>
  <c r="B8" i="9"/>
  <c r="B10" i="6"/>
  <c r="G151" i="31"/>
  <c r="B9" i="8"/>
  <c r="G143" i="31"/>
  <c r="G129" i="31"/>
  <c r="G137" i="31"/>
  <c r="G145" i="31"/>
  <c r="G130" i="31"/>
  <c r="G139" i="31"/>
  <c r="G148" i="31"/>
  <c r="B14" i="10"/>
  <c r="B6" i="6"/>
  <c r="G132" i="31"/>
  <c r="G149" i="31"/>
  <c r="B11" i="6"/>
  <c r="B5" i="8"/>
  <c r="B17" i="8"/>
  <c r="B11" i="10"/>
  <c r="G133" i="31"/>
  <c r="G141" i="31"/>
  <c r="E236" i="31" l="1"/>
  <c r="B8" i="12"/>
  <c r="E238" i="31"/>
  <c r="B18" i="10"/>
  <c r="B15" i="10"/>
  <c r="B20" i="10"/>
  <c r="B21" i="10"/>
  <c r="D20" i="5" s="1"/>
  <c r="B16" i="10"/>
  <c r="B9" i="10"/>
  <c r="B13" i="10"/>
  <c r="B19" i="10"/>
  <c r="B17" i="10"/>
  <c r="G154" i="31"/>
  <c r="B11" i="7"/>
  <c r="B9" i="6"/>
  <c r="B10" i="11"/>
  <c r="B14" i="11" s="1"/>
  <c r="B10" i="10"/>
  <c r="B6" i="12"/>
  <c r="B9" i="12" s="1"/>
  <c r="B22" i="12"/>
  <c r="D33" i="5" s="1"/>
  <c r="C24" i="36" s="1"/>
  <c r="B18" i="8"/>
  <c r="B43" i="10"/>
  <c r="N33" i="10"/>
  <c r="E244" i="31" l="1"/>
  <c r="E245" i="31" s="1"/>
  <c r="D27" i="5"/>
  <c r="C18" i="36" s="1"/>
  <c r="B22" i="10"/>
  <c r="N43" i="10"/>
  <c r="B10" i="12" l="1"/>
  <c r="D28" i="5" s="1"/>
  <c r="C19" i="36" s="1"/>
  <c r="B16" i="11"/>
  <c r="D19" i="5"/>
  <c r="C13" i="36" s="1"/>
  <c r="D15" i="28"/>
  <c r="B24" i="12" l="1"/>
  <c r="B24" i="10"/>
  <c r="N45" i="10"/>
  <c r="G29" i="27"/>
  <c r="F29" i="27"/>
  <c r="G24" i="27"/>
  <c r="F24" i="27"/>
  <c r="G13" i="27"/>
  <c r="G18" i="27" s="1"/>
  <c r="F13" i="27"/>
  <c r="F18" i="27" s="1"/>
  <c r="D7" i="25"/>
  <c r="D9" i="25" s="1"/>
  <c r="D11" i="25" s="1"/>
  <c r="D6" i="23"/>
  <c r="D11" i="22"/>
  <c r="D9" i="21"/>
  <c r="D19" i="20"/>
  <c r="D10" i="13"/>
  <c r="D13" i="9"/>
  <c r="D28" i="7"/>
  <c r="B24" i="7" s="1"/>
  <c r="D17" i="7"/>
  <c r="D11" i="7"/>
  <c r="E29" i="30"/>
  <c r="E23" i="30"/>
  <c r="E16" i="30"/>
  <c r="E33" i="30" s="1"/>
  <c r="E37" i="30" s="1"/>
  <c r="E41" i="30" s="1"/>
  <c r="E14" i="30"/>
  <c r="B16" i="29"/>
  <c r="C16" i="29"/>
  <c r="D16" i="29"/>
  <c r="E16" i="29"/>
  <c r="F16" i="29"/>
  <c r="G13" i="29"/>
  <c r="G16" i="29" s="1"/>
  <c r="G25" i="29" s="1"/>
  <c r="E35" i="18"/>
  <c r="E23" i="18"/>
  <c r="E12" i="18"/>
  <c r="F47" i="5"/>
  <c r="F35" i="5"/>
  <c r="F30" i="5"/>
  <c r="F37" i="5" s="1"/>
  <c r="F49" i="5" s="1"/>
  <c r="F21" i="5"/>
  <c r="F14" i="5"/>
  <c r="C71" i="36"/>
  <c r="AD46" i="36"/>
  <c r="AA46" i="36"/>
  <c r="Z46" i="36"/>
  <c r="T46" i="36"/>
  <c r="R46" i="36"/>
  <c r="I46" i="36"/>
  <c r="D45" i="36"/>
  <c r="D33" i="36" s="1"/>
  <c r="D46" i="36" s="1"/>
  <c r="J44" i="36"/>
  <c r="L43" i="36"/>
  <c r="N43" i="36" s="1"/>
  <c r="F39" i="36"/>
  <c r="L39" i="36" s="1"/>
  <c r="N39" i="36" s="1"/>
  <c r="E39" i="36"/>
  <c r="E6" i="36" s="1"/>
  <c r="L36" i="36"/>
  <c r="N36" i="36" s="1"/>
  <c r="L35" i="36"/>
  <c r="N35" i="36" s="1"/>
  <c r="AE35" i="36" s="1"/>
  <c r="L34" i="36"/>
  <c r="L32" i="36"/>
  <c r="N32" i="36" s="1"/>
  <c r="L31" i="36"/>
  <c r="N31" i="36" s="1"/>
  <c r="L30" i="36"/>
  <c r="N30" i="36" s="1"/>
  <c r="AC30" i="36" s="1"/>
  <c r="AE30" i="36" s="1"/>
  <c r="L29" i="36"/>
  <c r="N29" i="36" s="1"/>
  <c r="F28" i="36"/>
  <c r="L28" i="36" s="1"/>
  <c r="N28" i="36" s="1"/>
  <c r="J27" i="36"/>
  <c r="J46" i="36" s="1"/>
  <c r="L27" i="36"/>
  <c r="N27" i="36" s="1"/>
  <c r="L26" i="36"/>
  <c r="N26" i="36" s="1"/>
  <c r="AE26" i="36" s="1"/>
  <c r="L25" i="36"/>
  <c r="N25" i="36" s="1"/>
  <c r="L24" i="36"/>
  <c r="N24" i="36" s="1"/>
  <c r="L23" i="36"/>
  <c r="N23" i="36" s="1"/>
  <c r="L20" i="36"/>
  <c r="N20" i="36" s="1"/>
  <c r="L19" i="36"/>
  <c r="N19" i="36" s="1"/>
  <c r="L18" i="36"/>
  <c r="N18" i="36" s="1"/>
  <c r="Q18" i="36" s="1"/>
  <c r="H18" i="36"/>
  <c r="L17" i="36"/>
  <c r="N17" i="36" s="1"/>
  <c r="AE17" i="36" s="1"/>
  <c r="L16" i="36"/>
  <c r="N16" i="36" s="1"/>
  <c r="AE16" i="36" s="1"/>
  <c r="L15" i="36"/>
  <c r="N15" i="36" s="1"/>
  <c r="AE15" i="36" s="1"/>
  <c r="N14" i="36"/>
  <c r="AE14" i="36" s="1"/>
  <c r="L14" i="36"/>
  <c r="L12" i="36"/>
  <c r="N12" i="36" s="1"/>
  <c r="AE12" i="36" s="1"/>
  <c r="G11" i="36"/>
  <c r="G46" i="36" s="1"/>
  <c r="M46" i="36"/>
  <c r="G241" i="34"/>
  <c r="I219" i="34"/>
  <c r="J219" i="34" s="1"/>
  <c r="G219" i="34"/>
  <c r="H219" i="34" s="1"/>
  <c r="I195" i="34"/>
  <c r="G195" i="34"/>
  <c r="H195" i="34" s="1"/>
  <c r="I194" i="34"/>
  <c r="G194" i="34"/>
  <c r="H194" i="34" s="1"/>
  <c r="I193" i="34"/>
  <c r="G193" i="34"/>
  <c r="H193" i="34" s="1"/>
  <c r="I192" i="34"/>
  <c r="G192" i="34"/>
  <c r="H192" i="34" s="1"/>
  <c r="I191" i="34"/>
  <c r="G191" i="34"/>
  <c r="H191" i="34" s="1"/>
  <c r="I190" i="34"/>
  <c r="G190" i="34"/>
  <c r="H190" i="34" s="1"/>
  <c r="I189" i="34"/>
  <c r="G189" i="34"/>
  <c r="H189" i="34" s="1"/>
  <c r="I188" i="34"/>
  <c r="G188" i="34"/>
  <c r="H188" i="34" s="1"/>
  <c r="I187" i="34"/>
  <c r="G187" i="34"/>
  <c r="H187" i="34" s="1"/>
  <c r="I185" i="34"/>
  <c r="J185" i="34" s="1"/>
  <c r="G185" i="34"/>
  <c r="H185" i="34" s="1"/>
  <c r="I184" i="34"/>
  <c r="J184" i="34" s="1"/>
  <c r="G184" i="34"/>
  <c r="H184" i="34" s="1"/>
  <c r="I183" i="34"/>
  <c r="J183" i="34" s="1"/>
  <c r="G183" i="34"/>
  <c r="H183" i="34" s="1"/>
  <c r="I182" i="34"/>
  <c r="J182" i="34" s="1"/>
  <c r="G182" i="34"/>
  <c r="H182" i="34" s="1"/>
  <c r="I181" i="34"/>
  <c r="J181" i="34" s="1"/>
  <c r="G181" i="34"/>
  <c r="H181" i="34" s="1"/>
  <c r="I180" i="34"/>
  <c r="J180" i="34" s="1"/>
  <c r="I179" i="34"/>
  <c r="J179" i="34" s="1"/>
  <c r="G179" i="34"/>
  <c r="H179" i="34" s="1"/>
  <c r="I178" i="34"/>
  <c r="J178" i="34" s="1"/>
  <c r="G178" i="34"/>
  <c r="H178" i="34" s="1"/>
  <c r="I177" i="34"/>
  <c r="J177" i="34" s="1"/>
  <c r="G177" i="34"/>
  <c r="H177" i="34" s="1"/>
  <c r="I176" i="34"/>
  <c r="J176" i="34" s="1"/>
  <c r="G176" i="34"/>
  <c r="H176" i="34" s="1"/>
  <c r="I175" i="34"/>
  <c r="J175" i="34" s="1"/>
  <c r="G175" i="34"/>
  <c r="H175" i="34" s="1"/>
  <c r="I174" i="34"/>
  <c r="J174" i="34" s="1"/>
  <c r="G174" i="34"/>
  <c r="H174" i="34" s="1"/>
  <c r="I173" i="34"/>
  <c r="J173" i="34" s="1"/>
  <c r="G173" i="34"/>
  <c r="H173" i="34" s="1"/>
  <c r="I172" i="34"/>
  <c r="J172" i="34" s="1"/>
  <c r="G172" i="34"/>
  <c r="H172" i="34" s="1"/>
  <c r="I171" i="34"/>
  <c r="J171" i="34" s="1"/>
  <c r="G171" i="34"/>
  <c r="H171" i="34" s="1"/>
  <c r="I170" i="34"/>
  <c r="J170" i="34" s="1"/>
  <c r="G170" i="34"/>
  <c r="H170" i="34" s="1"/>
  <c r="I169" i="34"/>
  <c r="J169" i="34" s="1"/>
  <c r="G169" i="34"/>
  <c r="H169" i="34" s="1"/>
  <c r="I168" i="34"/>
  <c r="J168" i="34" s="1"/>
  <c r="G168" i="34"/>
  <c r="H168" i="34" s="1"/>
  <c r="I167" i="34"/>
  <c r="J167" i="34" s="1"/>
  <c r="G167" i="34"/>
  <c r="H167" i="34" s="1"/>
  <c r="I166" i="34"/>
  <c r="J166" i="34" s="1"/>
  <c r="G166" i="34"/>
  <c r="H166" i="34" s="1"/>
  <c r="I165" i="34"/>
  <c r="J165" i="34" s="1"/>
  <c r="G165" i="34"/>
  <c r="H165" i="34" s="1"/>
  <c r="I164" i="34"/>
  <c r="J164" i="34" s="1"/>
  <c r="G164" i="34"/>
  <c r="H164" i="34" s="1"/>
  <c r="I163" i="34"/>
  <c r="J163" i="34" s="1"/>
  <c r="G163" i="34"/>
  <c r="H163" i="34" s="1"/>
  <c r="I162" i="34"/>
  <c r="J162" i="34" s="1"/>
  <c r="G162" i="34"/>
  <c r="H162" i="34" s="1"/>
  <c r="I161" i="34"/>
  <c r="J161" i="34" s="1"/>
  <c r="G161" i="34"/>
  <c r="H161" i="34" s="1"/>
  <c r="I160" i="34"/>
  <c r="J160" i="34" s="1"/>
  <c r="G160" i="34"/>
  <c r="H160" i="34" s="1"/>
  <c r="I158" i="34"/>
  <c r="J158" i="34" s="1"/>
  <c r="G158" i="34"/>
  <c r="H158" i="34" s="1"/>
  <c r="I157" i="34"/>
  <c r="J157" i="34" s="1"/>
  <c r="G157" i="34"/>
  <c r="H157" i="34" s="1"/>
  <c r="I156" i="34"/>
  <c r="J156" i="34" s="1"/>
  <c r="G156" i="34"/>
  <c r="H156" i="34" s="1"/>
  <c r="I155" i="34"/>
  <c r="J155" i="34" s="1"/>
  <c r="G155" i="34"/>
  <c r="H155" i="34" s="1"/>
  <c r="I154" i="34"/>
  <c r="J154" i="34" s="1"/>
  <c r="G154" i="34"/>
  <c r="H154" i="34" s="1"/>
  <c r="I153" i="34"/>
  <c r="J153" i="34" s="1"/>
  <c r="G153" i="34"/>
  <c r="H153" i="34" s="1"/>
  <c r="I152" i="34"/>
  <c r="J152" i="34" s="1"/>
  <c r="G152" i="34"/>
  <c r="H152" i="34" s="1"/>
  <c r="I151" i="34"/>
  <c r="J151" i="34" s="1"/>
  <c r="G151" i="34"/>
  <c r="H151" i="34" s="1"/>
  <c r="I150" i="34"/>
  <c r="J150" i="34" s="1"/>
  <c r="G150" i="34"/>
  <c r="H150" i="34" s="1"/>
  <c r="I149" i="34"/>
  <c r="J149" i="34" s="1"/>
  <c r="G149" i="34"/>
  <c r="H149" i="34" s="1"/>
  <c r="I148" i="34"/>
  <c r="J148" i="34" s="1"/>
  <c r="G148" i="34"/>
  <c r="H148" i="34" s="1"/>
  <c r="I147" i="34"/>
  <c r="J147" i="34" s="1"/>
  <c r="G147" i="34"/>
  <c r="H147" i="34" s="1"/>
  <c r="I146" i="34"/>
  <c r="J146" i="34" s="1"/>
  <c r="G146" i="34"/>
  <c r="H146" i="34" s="1"/>
  <c r="I145" i="34"/>
  <c r="J145" i="34" s="1"/>
  <c r="G145" i="34"/>
  <c r="H145" i="34" s="1"/>
  <c r="I144" i="34"/>
  <c r="J144" i="34" s="1"/>
  <c r="G144" i="34"/>
  <c r="H144" i="34" s="1"/>
  <c r="I143" i="34"/>
  <c r="J143" i="34" s="1"/>
  <c r="G143" i="34"/>
  <c r="H143" i="34" s="1"/>
  <c r="I141" i="34"/>
  <c r="J141" i="34" s="1"/>
  <c r="G141" i="34"/>
  <c r="H141" i="34" s="1"/>
  <c r="I140" i="34"/>
  <c r="J140" i="34" s="1"/>
  <c r="G140" i="34"/>
  <c r="H140" i="34" s="1"/>
  <c r="I139" i="34"/>
  <c r="J139" i="34" s="1"/>
  <c r="G139" i="34"/>
  <c r="H139" i="34" s="1"/>
  <c r="I138" i="34"/>
  <c r="J138" i="34" s="1"/>
  <c r="G138" i="34"/>
  <c r="H138" i="34" s="1"/>
  <c r="I137" i="34"/>
  <c r="J137" i="34" s="1"/>
  <c r="G137" i="34"/>
  <c r="H137" i="34" s="1"/>
  <c r="I136" i="34"/>
  <c r="J136" i="34" s="1"/>
  <c r="G136" i="34"/>
  <c r="H136" i="34" s="1"/>
  <c r="I135" i="34"/>
  <c r="J135" i="34" s="1"/>
  <c r="G135" i="34"/>
  <c r="H135" i="34" s="1"/>
  <c r="I134" i="34"/>
  <c r="J134" i="34" s="1"/>
  <c r="G134" i="34"/>
  <c r="H134" i="34" s="1"/>
  <c r="I132" i="34"/>
  <c r="J132" i="34" s="1"/>
  <c r="G132" i="34"/>
  <c r="H132" i="34" s="1"/>
  <c r="I131" i="34"/>
  <c r="J131" i="34" s="1"/>
  <c r="G131" i="34"/>
  <c r="H131" i="34" s="1"/>
  <c r="I130" i="34"/>
  <c r="J130" i="34" s="1"/>
  <c r="G130" i="34"/>
  <c r="H130" i="34" s="1"/>
  <c r="I129" i="34"/>
  <c r="J129" i="34" s="1"/>
  <c r="G129" i="34"/>
  <c r="H129" i="34" s="1"/>
  <c r="I128" i="34"/>
  <c r="J128" i="34" s="1"/>
  <c r="G128" i="34"/>
  <c r="H128" i="34" s="1"/>
  <c r="I127" i="34"/>
  <c r="J127" i="34" s="1"/>
  <c r="G127" i="34"/>
  <c r="H127" i="34" s="1"/>
  <c r="I126" i="34"/>
  <c r="J126" i="34" s="1"/>
  <c r="G126" i="34"/>
  <c r="H126" i="34" s="1"/>
  <c r="I124" i="34"/>
  <c r="J124" i="34" s="1"/>
  <c r="G124" i="34"/>
  <c r="H124" i="34" s="1"/>
  <c r="I123" i="34"/>
  <c r="J123" i="34" s="1"/>
  <c r="G123" i="34"/>
  <c r="H123" i="34" s="1"/>
  <c r="I122" i="34"/>
  <c r="J122" i="34" s="1"/>
  <c r="G122" i="34"/>
  <c r="H122" i="34" s="1"/>
  <c r="I121" i="34"/>
  <c r="J121" i="34" s="1"/>
  <c r="G121" i="34"/>
  <c r="H121" i="34" s="1"/>
  <c r="I120" i="34"/>
  <c r="J120" i="34" s="1"/>
  <c r="G120" i="34"/>
  <c r="H120" i="34" s="1"/>
  <c r="I119" i="34"/>
  <c r="J119" i="34" s="1"/>
  <c r="G119" i="34"/>
  <c r="H119" i="34" s="1"/>
  <c r="I118" i="34"/>
  <c r="J118" i="34" s="1"/>
  <c r="G118" i="34"/>
  <c r="H118" i="34" s="1"/>
  <c r="I117" i="34"/>
  <c r="J117" i="34" s="1"/>
  <c r="G117" i="34"/>
  <c r="H117" i="34" s="1"/>
  <c r="I116" i="34"/>
  <c r="J116" i="34" s="1"/>
  <c r="G116" i="34"/>
  <c r="H116" i="34" s="1"/>
  <c r="I115" i="34"/>
  <c r="J115" i="34" s="1"/>
  <c r="G115" i="34"/>
  <c r="H115" i="34" s="1"/>
  <c r="I114" i="34"/>
  <c r="J114" i="34" s="1"/>
  <c r="G114" i="34"/>
  <c r="H114" i="34" s="1"/>
  <c r="I113" i="34"/>
  <c r="J113" i="34" s="1"/>
  <c r="G113" i="34"/>
  <c r="H113" i="34" s="1"/>
  <c r="I112" i="34"/>
  <c r="J112" i="34" s="1"/>
  <c r="G112" i="34"/>
  <c r="H112" i="34" s="1"/>
  <c r="I111" i="34"/>
  <c r="J111" i="34" s="1"/>
  <c r="G111" i="34"/>
  <c r="H111" i="34" s="1"/>
  <c r="I110" i="34"/>
  <c r="J110" i="34" s="1"/>
  <c r="G110" i="34"/>
  <c r="H110" i="34" s="1"/>
  <c r="I109" i="34"/>
  <c r="J109" i="34" s="1"/>
  <c r="G109" i="34"/>
  <c r="H109" i="34" s="1"/>
  <c r="I108" i="34"/>
  <c r="J108" i="34" s="1"/>
  <c r="G108" i="34"/>
  <c r="H108" i="34" s="1"/>
  <c r="I107" i="34"/>
  <c r="J107" i="34" s="1"/>
  <c r="G107" i="34"/>
  <c r="H107" i="34" s="1"/>
  <c r="I106" i="34"/>
  <c r="J106" i="34" s="1"/>
  <c r="G106" i="34"/>
  <c r="H106" i="34" s="1"/>
  <c r="I105" i="34"/>
  <c r="J105" i="34" s="1"/>
  <c r="G105" i="34"/>
  <c r="H105" i="34" s="1"/>
  <c r="I104" i="34"/>
  <c r="J104" i="34" s="1"/>
  <c r="G104" i="34"/>
  <c r="H104" i="34" s="1"/>
  <c r="I103" i="34"/>
  <c r="J103" i="34" s="1"/>
  <c r="G103" i="34"/>
  <c r="H103" i="34" s="1"/>
  <c r="I102" i="34"/>
  <c r="J102" i="34" s="1"/>
  <c r="G102" i="34"/>
  <c r="H102" i="34" s="1"/>
  <c r="I101" i="34"/>
  <c r="J101" i="34" s="1"/>
  <c r="G101" i="34"/>
  <c r="H101" i="34" s="1"/>
  <c r="I100" i="34"/>
  <c r="J100" i="34" s="1"/>
  <c r="G100" i="34"/>
  <c r="H100" i="34" s="1"/>
  <c r="I99" i="34"/>
  <c r="J99" i="34" s="1"/>
  <c r="G99" i="34"/>
  <c r="H99" i="34" s="1"/>
  <c r="I98" i="34"/>
  <c r="J98" i="34" s="1"/>
  <c r="G98" i="34"/>
  <c r="H98" i="34" s="1"/>
  <c r="I97" i="34"/>
  <c r="J97" i="34" s="1"/>
  <c r="G97" i="34"/>
  <c r="H97" i="34" s="1"/>
  <c r="I96" i="34"/>
  <c r="J96" i="34" s="1"/>
  <c r="G96" i="34"/>
  <c r="H96" i="34" s="1"/>
  <c r="I95" i="34"/>
  <c r="J95" i="34" s="1"/>
  <c r="G95" i="34"/>
  <c r="H95" i="34" s="1"/>
  <c r="I94" i="34"/>
  <c r="J94" i="34" s="1"/>
  <c r="G94" i="34"/>
  <c r="H94" i="34" s="1"/>
  <c r="I93" i="34"/>
  <c r="J93" i="34" s="1"/>
  <c r="G93" i="34"/>
  <c r="H93" i="34" s="1"/>
  <c r="I92" i="34"/>
  <c r="J92" i="34" s="1"/>
  <c r="G92" i="34"/>
  <c r="H92" i="34" s="1"/>
  <c r="I91" i="34"/>
  <c r="J91" i="34" s="1"/>
  <c r="G91" i="34"/>
  <c r="H91" i="34" s="1"/>
  <c r="I90" i="34"/>
  <c r="J90" i="34" s="1"/>
  <c r="G90" i="34"/>
  <c r="H90" i="34" s="1"/>
  <c r="I89" i="34"/>
  <c r="J89" i="34" s="1"/>
  <c r="G89" i="34"/>
  <c r="H89" i="34" s="1"/>
  <c r="I88" i="34"/>
  <c r="J88" i="34" s="1"/>
  <c r="G88" i="34"/>
  <c r="H88" i="34" s="1"/>
  <c r="I87" i="34"/>
  <c r="J87" i="34" s="1"/>
  <c r="G87" i="34"/>
  <c r="H87" i="34" s="1"/>
  <c r="I86" i="34"/>
  <c r="J86" i="34" s="1"/>
  <c r="G86" i="34"/>
  <c r="H86" i="34" s="1"/>
  <c r="I85" i="34"/>
  <c r="J85" i="34" s="1"/>
  <c r="G85" i="34"/>
  <c r="H85" i="34" s="1"/>
  <c r="I84" i="34"/>
  <c r="J84" i="34" s="1"/>
  <c r="G84" i="34"/>
  <c r="H84" i="34" s="1"/>
  <c r="I83" i="34"/>
  <c r="J83" i="34" s="1"/>
  <c r="G83" i="34"/>
  <c r="H83" i="34" s="1"/>
  <c r="I82" i="34"/>
  <c r="J82" i="34" s="1"/>
  <c r="G82" i="34"/>
  <c r="H82" i="34" s="1"/>
  <c r="I81" i="34"/>
  <c r="J81" i="34" s="1"/>
  <c r="G81" i="34"/>
  <c r="H81" i="34" s="1"/>
  <c r="I80" i="34"/>
  <c r="J80" i="34" s="1"/>
  <c r="G80" i="34"/>
  <c r="H80" i="34" s="1"/>
  <c r="I49" i="34"/>
  <c r="J49" i="34" s="1"/>
  <c r="H49" i="34"/>
  <c r="I48" i="34"/>
  <c r="J48" i="34" s="1"/>
  <c r="H48" i="34"/>
  <c r="I47" i="34"/>
  <c r="J47" i="34" s="1"/>
  <c r="H47" i="34"/>
  <c r="I45" i="34"/>
  <c r="J45" i="34" s="1"/>
  <c r="H45" i="34"/>
  <c r="I44" i="34"/>
  <c r="J44" i="34" s="1"/>
  <c r="H44" i="34"/>
  <c r="I43" i="34"/>
  <c r="J43" i="34" s="1"/>
  <c r="H43" i="34"/>
  <c r="I42" i="34"/>
  <c r="J42" i="34" s="1"/>
  <c r="H42" i="34"/>
  <c r="I41" i="34"/>
  <c r="J41" i="34" s="1"/>
  <c r="H41" i="34"/>
  <c r="I40" i="34"/>
  <c r="J40" i="34" s="1"/>
  <c r="H40" i="34"/>
  <c r="I39" i="34"/>
  <c r="J39" i="34" s="1"/>
  <c r="H39" i="34"/>
  <c r="I38" i="34"/>
  <c r="J38" i="34" s="1"/>
  <c r="H38" i="34"/>
  <c r="I37" i="34"/>
  <c r="J37" i="34" s="1"/>
  <c r="H37" i="34"/>
  <c r="I36" i="34"/>
  <c r="J36" i="34" s="1"/>
  <c r="H36" i="34"/>
  <c r="I35" i="34"/>
  <c r="J35" i="34" s="1"/>
  <c r="H35" i="34"/>
  <c r="I34" i="34"/>
  <c r="J34" i="34" s="1"/>
  <c r="H34" i="34"/>
  <c r="I33" i="34"/>
  <c r="J33" i="34" s="1"/>
  <c r="H33" i="34"/>
  <c r="I32" i="34"/>
  <c r="J32" i="34" s="1"/>
  <c r="H32" i="34"/>
  <c r="I31" i="34"/>
  <c r="J31" i="34" s="1"/>
  <c r="H31" i="34"/>
  <c r="I30" i="34"/>
  <c r="J30" i="34" s="1"/>
  <c r="H30" i="34"/>
  <c r="I29" i="34"/>
  <c r="J29" i="34" s="1"/>
  <c r="H29" i="34"/>
  <c r="I28" i="34"/>
  <c r="J28" i="34" s="1"/>
  <c r="H28" i="34"/>
  <c r="I27" i="34"/>
  <c r="J27" i="34" s="1"/>
  <c r="H27" i="34"/>
  <c r="I26" i="34"/>
  <c r="J26" i="34" s="1"/>
  <c r="H26" i="34"/>
  <c r="I25" i="34"/>
  <c r="J25" i="34" s="1"/>
  <c r="H25" i="34"/>
  <c r="I24" i="34"/>
  <c r="J24" i="34" s="1"/>
  <c r="H24" i="34"/>
  <c r="I23" i="34"/>
  <c r="J23" i="34" s="1"/>
  <c r="H23" i="34"/>
  <c r="I22" i="34"/>
  <c r="J22" i="34" s="1"/>
  <c r="H22" i="34"/>
  <c r="I21" i="34"/>
  <c r="J21" i="34" s="1"/>
  <c r="H21" i="34"/>
  <c r="I20" i="34"/>
  <c r="J20" i="34" s="1"/>
  <c r="H20" i="34"/>
  <c r="I19" i="34"/>
  <c r="J19" i="34" s="1"/>
  <c r="H19" i="34"/>
  <c r="I18" i="34"/>
  <c r="J18" i="34" s="1"/>
  <c r="H18" i="34"/>
  <c r="I17" i="34"/>
  <c r="J17" i="34" s="1"/>
  <c r="H17" i="34"/>
  <c r="I16" i="34"/>
  <c r="J16" i="34" s="1"/>
  <c r="H16" i="34"/>
  <c r="I15" i="34"/>
  <c r="J15" i="34" s="1"/>
  <c r="H15" i="34"/>
  <c r="I14" i="34"/>
  <c r="J14" i="34" s="1"/>
  <c r="H14" i="34"/>
  <c r="I13" i="34"/>
  <c r="J13" i="34" s="1"/>
  <c r="H13" i="34"/>
  <c r="I12" i="34"/>
  <c r="J12" i="34" s="1"/>
  <c r="H12" i="34"/>
  <c r="I11" i="34"/>
  <c r="J11" i="34" s="1"/>
  <c r="H11" i="34"/>
  <c r="I10" i="34"/>
  <c r="J10" i="34" s="1"/>
  <c r="H10" i="34"/>
  <c r="I9" i="34"/>
  <c r="J9" i="34" s="1"/>
  <c r="H9" i="34"/>
  <c r="I8" i="34"/>
  <c r="J8" i="34" s="1"/>
  <c r="H8" i="34"/>
  <c r="I7" i="34"/>
  <c r="J7" i="34" s="1"/>
  <c r="H7" i="34"/>
  <c r="I6" i="34"/>
  <c r="J6" i="34" s="1"/>
  <c r="H6" i="34"/>
  <c r="I5" i="34"/>
  <c r="J5" i="34" s="1"/>
  <c r="H5" i="34"/>
  <c r="I4" i="34"/>
  <c r="J4" i="34" s="1"/>
  <c r="H4" i="34"/>
  <c r="E374" i="32"/>
  <c r="G374" i="32" s="1"/>
  <c r="E373" i="32"/>
  <c r="G373" i="32" s="1"/>
  <c r="E372" i="32"/>
  <c r="G372" i="32" s="1"/>
  <c r="E371" i="32"/>
  <c r="G371" i="32" s="1"/>
  <c r="E370" i="32"/>
  <c r="G369" i="32"/>
  <c r="E369" i="32"/>
  <c r="F369" i="32" s="1"/>
  <c r="E368" i="32"/>
  <c r="F368" i="32" s="1"/>
  <c r="E367" i="32"/>
  <c r="G367" i="32" s="1"/>
  <c r="E366" i="32"/>
  <c r="F366" i="32" s="1"/>
  <c r="E365" i="32"/>
  <c r="G365" i="32" s="1"/>
  <c r="E364" i="32"/>
  <c r="G364" i="32" s="1"/>
  <c r="E363" i="32"/>
  <c r="G363" i="32" s="1"/>
  <c r="E362" i="32"/>
  <c r="G361" i="32"/>
  <c r="E361" i="32"/>
  <c r="F361" i="32" s="1"/>
  <c r="E360" i="32"/>
  <c r="F360" i="32" s="1"/>
  <c r="E359" i="32"/>
  <c r="G359" i="32" s="1"/>
  <c r="E358" i="32"/>
  <c r="F358" i="32" s="1"/>
  <c r="E357" i="32"/>
  <c r="G357" i="32" s="1"/>
  <c r="E356" i="32"/>
  <c r="G356" i="32" s="1"/>
  <c r="F355" i="32"/>
  <c r="E355" i="32"/>
  <c r="G355" i="32" s="1"/>
  <c r="E354" i="32"/>
  <c r="F353" i="32"/>
  <c r="E353" i="32"/>
  <c r="G353" i="32" s="1"/>
  <c r="G352" i="32"/>
  <c r="E352" i="32"/>
  <c r="F352" i="32" s="1"/>
  <c r="F351" i="32"/>
  <c r="E351" i="32"/>
  <c r="G351" i="32" s="1"/>
  <c r="E350" i="32"/>
  <c r="F350" i="32" s="1"/>
  <c r="E349" i="32"/>
  <c r="G349" i="32" s="1"/>
  <c r="E348" i="32"/>
  <c r="G348" i="32" s="1"/>
  <c r="E347" i="32"/>
  <c r="G347" i="32" s="1"/>
  <c r="E346" i="32"/>
  <c r="E345" i="32"/>
  <c r="G345" i="32" s="1"/>
  <c r="E344" i="32"/>
  <c r="F344" i="32" s="1"/>
  <c r="E343" i="32"/>
  <c r="G343" i="32" s="1"/>
  <c r="E342" i="32"/>
  <c r="F342" i="32" s="1"/>
  <c r="E341" i="32"/>
  <c r="G341" i="32" s="1"/>
  <c r="E340" i="32"/>
  <c r="G340" i="32" s="1"/>
  <c r="G339" i="32"/>
  <c r="E339" i="32"/>
  <c r="F339" i="32" s="1"/>
  <c r="E338" i="32"/>
  <c r="G337" i="32"/>
  <c r="E337" i="32"/>
  <c r="F337" i="32" s="1"/>
  <c r="E336" i="32"/>
  <c r="F336" i="32" s="1"/>
  <c r="E335" i="32"/>
  <c r="G335" i="32" s="1"/>
  <c r="E334" i="32"/>
  <c r="F334" i="32" s="1"/>
  <c r="E333" i="32"/>
  <c r="G333" i="32" s="1"/>
  <c r="E332" i="32"/>
  <c r="F331" i="32"/>
  <c r="E331" i="32"/>
  <c r="G331" i="32" s="1"/>
  <c r="E330" i="32"/>
  <c r="E329" i="32"/>
  <c r="G329" i="32" s="1"/>
  <c r="G328" i="32"/>
  <c r="E328" i="32"/>
  <c r="F328" i="32" s="1"/>
  <c r="E327" i="32"/>
  <c r="G327" i="32" s="1"/>
  <c r="F326" i="32"/>
  <c r="E326" i="32"/>
  <c r="G326" i="32" s="1"/>
  <c r="E325" i="32"/>
  <c r="G325" i="32" s="1"/>
  <c r="F324" i="32"/>
  <c r="E324" i="32"/>
  <c r="G324" i="32" s="1"/>
  <c r="E323" i="32"/>
  <c r="G323" i="32" s="1"/>
  <c r="E322" i="32"/>
  <c r="E321" i="32"/>
  <c r="G321" i="32" s="1"/>
  <c r="E320" i="32"/>
  <c r="F320" i="32" s="1"/>
  <c r="E319" i="32"/>
  <c r="G319" i="32" s="1"/>
  <c r="E318" i="32"/>
  <c r="E317" i="32"/>
  <c r="G317" i="32" s="1"/>
  <c r="E316" i="32"/>
  <c r="E315" i="32"/>
  <c r="G315" i="32" s="1"/>
  <c r="E314" i="32"/>
  <c r="G313" i="32"/>
  <c r="E313" i="32"/>
  <c r="F313" i="32" s="1"/>
  <c r="G312" i="32"/>
  <c r="E312" i="32"/>
  <c r="F312" i="32" s="1"/>
  <c r="E311" i="32"/>
  <c r="G311" i="32" s="1"/>
  <c r="F310" i="32"/>
  <c r="E310" i="32"/>
  <c r="G310" i="32" s="1"/>
  <c r="E309" i="32"/>
  <c r="G309" i="32" s="1"/>
  <c r="F308" i="32"/>
  <c r="E308" i="32"/>
  <c r="G308" i="32" s="1"/>
  <c r="E307" i="32"/>
  <c r="G307" i="32" s="1"/>
  <c r="E306" i="32"/>
  <c r="F305" i="32"/>
  <c r="E305" i="32"/>
  <c r="G305" i="32" s="1"/>
  <c r="G304" i="32"/>
  <c r="E304" i="32"/>
  <c r="F304" i="32" s="1"/>
  <c r="E303" i="32"/>
  <c r="G303" i="32" s="1"/>
  <c r="E302" i="32"/>
  <c r="E301" i="32"/>
  <c r="G301" i="32" s="1"/>
  <c r="E300" i="32"/>
  <c r="E299" i="32"/>
  <c r="G299" i="32" s="1"/>
  <c r="E298" i="32"/>
  <c r="E297" i="32"/>
  <c r="G297" i="32" s="1"/>
  <c r="E296" i="32"/>
  <c r="F296" i="32" s="1"/>
  <c r="E295" i="32"/>
  <c r="G295" i="32" s="1"/>
  <c r="E294" i="32"/>
  <c r="G294" i="32" s="1"/>
  <c r="E293" i="32"/>
  <c r="G293" i="32" s="1"/>
  <c r="E292" i="32"/>
  <c r="G292" i="32" s="1"/>
  <c r="G291" i="32"/>
  <c r="F291" i="32"/>
  <c r="E291" i="32"/>
  <c r="E290" i="32"/>
  <c r="E289" i="32"/>
  <c r="G289" i="32" s="1"/>
  <c r="G288" i="32"/>
  <c r="E288" i="32"/>
  <c r="F288" i="32" s="1"/>
  <c r="E287" i="32"/>
  <c r="G287" i="32" s="1"/>
  <c r="E286" i="32"/>
  <c r="E285" i="32"/>
  <c r="G285" i="32" s="1"/>
  <c r="E284" i="32"/>
  <c r="G284" i="32" s="1"/>
  <c r="G283" i="32"/>
  <c r="E283" i="32"/>
  <c r="F283" i="32" s="1"/>
  <c r="E282" i="32"/>
  <c r="G281" i="32"/>
  <c r="E281" i="32"/>
  <c r="F281" i="32" s="1"/>
  <c r="E280" i="32"/>
  <c r="G280" i="32" s="1"/>
  <c r="E279" i="32"/>
  <c r="E278" i="32"/>
  <c r="F278" i="32" s="1"/>
  <c r="E277" i="32"/>
  <c r="F277" i="32" s="1"/>
  <c r="E276" i="32"/>
  <c r="E275" i="32"/>
  <c r="F275" i="32" s="1"/>
  <c r="E274" i="32"/>
  <c r="E273" i="32"/>
  <c r="F273" i="32" s="1"/>
  <c r="F272" i="32"/>
  <c r="E272" i="32"/>
  <c r="G272" i="32" s="1"/>
  <c r="E271" i="32"/>
  <c r="G271" i="32" s="1"/>
  <c r="E270" i="32"/>
  <c r="F270" i="32" s="1"/>
  <c r="E269" i="32"/>
  <c r="F269" i="32" s="1"/>
  <c r="E268" i="32"/>
  <c r="G268" i="32" s="1"/>
  <c r="E267" i="32"/>
  <c r="F267" i="32" s="1"/>
  <c r="E266" i="32"/>
  <c r="E265" i="32"/>
  <c r="F265" i="32" s="1"/>
  <c r="E264" i="32"/>
  <c r="G264" i="32" s="1"/>
  <c r="E263" i="32"/>
  <c r="G263" i="32" s="1"/>
  <c r="E262" i="32"/>
  <c r="F262" i="32" s="1"/>
  <c r="E261" i="32"/>
  <c r="F261" i="32" s="1"/>
  <c r="E260" i="32"/>
  <c r="G260" i="32" s="1"/>
  <c r="E259" i="32"/>
  <c r="F259" i="32" s="1"/>
  <c r="E258" i="32"/>
  <c r="E257" i="32"/>
  <c r="F257" i="32" s="1"/>
  <c r="E256" i="32"/>
  <c r="G256" i="32" s="1"/>
  <c r="E255" i="32"/>
  <c r="G255" i="32" s="1"/>
  <c r="E254" i="32"/>
  <c r="F254" i="32" s="1"/>
  <c r="E253" i="32"/>
  <c r="F253" i="32" s="1"/>
  <c r="E252" i="32"/>
  <c r="G252" i="32" s="1"/>
  <c r="E251" i="32"/>
  <c r="F251" i="32" s="1"/>
  <c r="E250" i="32"/>
  <c r="E249" i="32"/>
  <c r="F249" i="32" s="1"/>
  <c r="E248" i="32"/>
  <c r="G248" i="32" s="1"/>
  <c r="E247" i="32"/>
  <c r="G247" i="32" s="1"/>
  <c r="E246" i="32"/>
  <c r="F246" i="32" s="1"/>
  <c r="E245" i="32"/>
  <c r="F245" i="32" s="1"/>
  <c r="E244" i="32"/>
  <c r="G244" i="32" s="1"/>
  <c r="E243" i="32"/>
  <c r="F243" i="32" s="1"/>
  <c r="E242" i="32"/>
  <c r="E241" i="32"/>
  <c r="F241" i="32" s="1"/>
  <c r="E240" i="32"/>
  <c r="G240" i="32" s="1"/>
  <c r="E239" i="32"/>
  <c r="G239" i="32" s="1"/>
  <c r="E238" i="32"/>
  <c r="F238" i="32" s="1"/>
  <c r="E237" i="32"/>
  <c r="F237" i="32" s="1"/>
  <c r="E236" i="32"/>
  <c r="G236" i="32" s="1"/>
  <c r="E235" i="32"/>
  <c r="F235" i="32" s="1"/>
  <c r="E234" i="32"/>
  <c r="E233" i="32"/>
  <c r="F233" i="32" s="1"/>
  <c r="E232" i="32"/>
  <c r="G232" i="32" s="1"/>
  <c r="E231" i="32"/>
  <c r="G231" i="32" s="1"/>
  <c r="E230" i="32"/>
  <c r="F230" i="32" s="1"/>
  <c r="E229" i="32"/>
  <c r="F229" i="32" s="1"/>
  <c r="E228" i="32"/>
  <c r="G228" i="32" s="1"/>
  <c r="E227" i="32"/>
  <c r="F227" i="32" s="1"/>
  <c r="E226" i="32"/>
  <c r="E225" i="32"/>
  <c r="F225" i="32" s="1"/>
  <c r="E224" i="32"/>
  <c r="G224" i="32" s="1"/>
  <c r="E223" i="32"/>
  <c r="G223" i="32" s="1"/>
  <c r="E222" i="32"/>
  <c r="F222" i="32" s="1"/>
  <c r="E221" i="32"/>
  <c r="F221" i="32" s="1"/>
  <c r="E220" i="32"/>
  <c r="G220" i="32" s="1"/>
  <c r="E219" i="32"/>
  <c r="F219" i="32" s="1"/>
  <c r="E218" i="32"/>
  <c r="E217" i="32"/>
  <c r="F217" i="32" s="1"/>
  <c r="E216" i="32"/>
  <c r="G216" i="32" s="1"/>
  <c r="E215" i="32"/>
  <c r="G215" i="32" s="1"/>
  <c r="E214" i="32"/>
  <c r="F214" i="32" s="1"/>
  <c r="E213" i="32"/>
  <c r="F213" i="32" s="1"/>
  <c r="E212" i="32"/>
  <c r="G212" i="32" s="1"/>
  <c r="E211" i="32"/>
  <c r="F211" i="32" s="1"/>
  <c r="E210" i="32"/>
  <c r="E209" i="32"/>
  <c r="F209" i="32" s="1"/>
  <c r="E208" i="32"/>
  <c r="G208" i="32" s="1"/>
  <c r="E207" i="32"/>
  <c r="G207" i="32" s="1"/>
  <c r="E206" i="32"/>
  <c r="F206" i="32" s="1"/>
  <c r="E205" i="32"/>
  <c r="F205" i="32" s="1"/>
  <c r="E204" i="32"/>
  <c r="G204" i="32" s="1"/>
  <c r="E203" i="32"/>
  <c r="F203" i="32" s="1"/>
  <c r="E202" i="32"/>
  <c r="E201" i="32"/>
  <c r="F201" i="32" s="1"/>
  <c r="E200" i="32"/>
  <c r="G200" i="32" s="1"/>
  <c r="E199" i="32"/>
  <c r="G199" i="32" s="1"/>
  <c r="E198" i="32"/>
  <c r="F198" i="32" s="1"/>
  <c r="E197" i="32"/>
  <c r="F197" i="32" s="1"/>
  <c r="E196" i="32"/>
  <c r="G196" i="32" s="1"/>
  <c r="E195" i="32"/>
  <c r="F195" i="32" s="1"/>
  <c r="E194" i="32"/>
  <c r="E193" i="32"/>
  <c r="F193" i="32" s="1"/>
  <c r="E192" i="32"/>
  <c r="G192" i="32" s="1"/>
  <c r="E191" i="32"/>
  <c r="G191" i="32" s="1"/>
  <c r="E190" i="32"/>
  <c r="F190" i="32" s="1"/>
  <c r="E189" i="32"/>
  <c r="F189" i="32" s="1"/>
  <c r="E188" i="32"/>
  <c r="G188" i="32" s="1"/>
  <c r="E187" i="32"/>
  <c r="F187" i="32" s="1"/>
  <c r="E186" i="32"/>
  <c r="E185" i="32"/>
  <c r="F185" i="32" s="1"/>
  <c r="E184" i="32"/>
  <c r="G184" i="32" s="1"/>
  <c r="E183" i="32"/>
  <c r="G183" i="32" s="1"/>
  <c r="E182" i="32"/>
  <c r="F182" i="32" s="1"/>
  <c r="E181" i="32"/>
  <c r="F181" i="32" s="1"/>
  <c r="E180" i="32"/>
  <c r="G180" i="32" s="1"/>
  <c r="E179" i="32"/>
  <c r="E178" i="32"/>
  <c r="G178" i="32" s="1"/>
  <c r="E177" i="32"/>
  <c r="E176" i="32"/>
  <c r="F176" i="32" s="1"/>
  <c r="F175" i="32"/>
  <c r="E175" i="32"/>
  <c r="G175" i="32" s="1"/>
  <c r="E174" i="32"/>
  <c r="G174" i="32" s="1"/>
  <c r="E173" i="32"/>
  <c r="F173" i="32" s="1"/>
  <c r="G172" i="32"/>
  <c r="E172" i="32"/>
  <c r="F172" i="32" s="1"/>
  <c r="F171" i="32"/>
  <c r="E171" i="32"/>
  <c r="G171" i="32" s="1"/>
  <c r="E170" i="32"/>
  <c r="F170" i="32" s="1"/>
  <c r="E169" i="32"/>
  <c r="E168" i="32"/>
  <c r="F168" i="32" s="1"/>
  <c r="F167" i="32"/>
  <c r="E167" i="32"/>
  <c r="G167" i="32" s="1"/>
  <c r="E166" i="32"/>
  <c r="G166" i="32" s="1"/>
  <c r="E165" i="32"/>
  <c r="F165" i="32" s="1"/>
  <c r="G164" i="32"/>
  <c r="E164" i="32"/>
  <c r="F164" i="32" s="1"/>
  <c r="F163" i="32"/>
  <c r="E163" i="32"/>
  <c r="G163" i="32" s="1"/>
  <c r="E162" i="32"/>
  <c r="F162" i="32" s="1"/>
  <c r="E161" i="32"/>
  <c r="E160" i="32"/>
  <c r="F160" i="32" s="1"/>
  <c r="F159" i="32"/>
  <c r="E159" i="32"/>
  <c r="G159" i="32" s="1"/>
  <c r="E158" i="32"/>
  <c r="G158" i="32" s="1"/>
  <c r="E157" i="32"/>
  <c r="F157" i="32" s="1"/>
  <c r="G156" i="32"/>
  <c r="E156" i="32"/>
  <c r="F156" i="32" s="1"/>
  <c r="F155" i="32"/>
  <c r="E155" i="32"/>
  <c r="G155" i="32" s="1"/>
  <c r="E154" i="32"/>
  <c r="F154" i="32" s="1"/>
  <c r="E153" i="32"/>
  <c r="E152" i="32"/>
  <c r="F152" i="32" s="1"/>
  <c r="F151" i="32"/>
  <c r="E151" i="32"/>
  <c r="G151" i="32" s="1"/>
  <c r="E150" i="32"/>
  <c r="G150" i="32" s="1"/>
  <c r="E149" i="32"/>
  <c r="F149" i="32" s="1"/>
  <c r="G148" i="32"/>
  <c r="E148" i="32"/>
  <c r="F148" i="32" s="1"/>
  <c r="F147" i="32"/>
  <c r="E147" i="32"/>
  <c r="G147" i="32" s="1"/>
  <c r="E146" i="32"/>
  <c r="F146" i="32" s="1"/>
  <c r="E145" i="32"/>
  <c r="E144" i="32"/>
  <c r="F144" i="32" s="1"/>
  <c r="F143" i="32"/>
  <c r="E143" i="32"/>
  <c r="G143" i="32" s="1"/>
  <c r="E142" i="32"/>
  <c r="G142" i="32" s="1"/>
  <c r="E141" i="32"/>
  <c r="F141" i="32" s="1"/>
  <c r="G140" i="32"/>
  <c r="E140" i="32"/>
  <c r="F140" i="32" s="1"/>
  <c r="F139" i="32"/>
  <c r="E139" i="32"/>
  <c r="G139" i="32" s="1"/>
  <c r="E138" i="32"/>
  <c r="F138" i="32" s="1"/>
  <c r="E137" i="32"/>
  <c r="E136" i="32"/>
  <c r="F136" i="32" s="1"/>
  <c r="F135" i="32"/>
  <c r="E135" i="32"/>
  <c r="G135" i="32" s="1"/>
  <c r="E134" i="32"/>
  <c r="G134" i="32" s="1"/>
  <c r="E133" i="32"/>
  <c r="F133" i="32" s="1"/>
  <c r="G132" i="32"/>
  <c r="E132" i="32"/>
  <c r="F132" i="32" s="1"/>
  <c r="F131" i="32"/>
  <c r="E131" i="32"/>
  <c r="G131" i="32" s="1"/>
  <c r="E130" i="32"/>
  <c r="F130" i="32" s="1"/>
  <c r="E129" i="32"/>
  <c r="E128" i="32"/>
  <c r="F128" i="32" s="1"/>
  <c r="F127" i="32"/>
  <c r="E127" i="32"/>
  <c r="G127" i="32" s="1"/>
  <c r="E126" i="32"/>
  <c r="G126" i="32" s="1"/>
  <c r="E125" i="32"/>
  <c r="F125" i="32" s="1"/>
  <c r="G124" i="32"/>
  <c r="E124" i="32"/>
  <c r="F124" i="32" s="1"/>
  <c r="F123" i="32"/>
  <c r="E123" i="32"/>
  <c r="G123" i="32" s="1"/>
  <c r="E122" i="32"/>
  <c r="F122" i="32" s="1"/>
  <c r="E121" i="32"/>
  <c r="E120" i="32"/>
  <c r="F120" i="32" s="1"/>
  <c r="F119" i="32"/>
  <c r="E119" i="32"/>
  <c r="G119" i="32" s="1"/>
  <c r="E118" i="32"/>
  <c r="G118" i="32" s="1"/>
  <c r="E117" i="32"/>
  <c r="F117" i="32" s="1"/>
  <c r="G116" i="32"/>
  <c r="E116" i="32"/>
  <c r="F116" i="32" s="1"/>
  <c r="F115" i="32"/>
  <c r="E115" i="32"/>
  <c r="G115" i="32" s="1"/>
  <c r="E114" i="32"/>
  <c r="F114" i="32" s="1"/>
  <c r="E113" i="32"/>
  <c r="E112" i="32"/>
  <c r="F112" i="32" s="1"/>
  <c r="F111" i="32"/>
  <c r="E111" i="32"/>
  <c r="G111" i="32" s="1"/>
  <c r="E110" i="32"/>
  <c r="G110" i="32" s="1"/>
  <c r="E109" i="32"/>
  <c r="F109" i="32" s="1"/>
  <c r="G108" i="32"/>
  <c r="E108" i="32"/>
  <c r="F108" i="32" s="1"/>
  <c r="F107" i="32"/>
  <c r="E107" i="32"/>
  <c r="G107" i="32" s="1"/>
  <c r="E106" i="32"/>
  <c r="F106" i="32" s="1"/>
  <c r="E105" i="32"/>
  <c r="E104" i="32"/>
  <c r="F104" i="32" s="1"/>
  <c r="F103" i="32"/>
  <c r="E103" i="32"/>
  <c r="G103" i="32" s="1"/>
  <c r="E102" i="32"/>
  <c r="G102" i="32" s="1"/>
  <c r="E101" i="32"/>
  <c r="F101" i="32" s="1"/>
  <c r="G100" i="32"/>
  <c r="E100" i="32"/>
  <c r="F100" i="32" s="1"/>
  <c r="F99" i="32"/>
  <c r="E99" i="32"/>
  <c r="G99" i="32" s="1"/>
  <c r="E98" i="32"/>
  <c r="F98" i="32" s="1"/>
  <c r="E97" i="32"/>
  <c r="E96" i="32"/>
  <c r="F96" i="32" s="1"/>
  <c r="F95" i="32"/>
  <c r="E95" i="32"/>
  <c r="G95" i="32" s="1"/>
  <c r="E94" i="32"/>
  <c r="G94" i="32" s="1"/>
  <c r="E93" i="32"/>
  <c r="F93" i="32" s="1"/>
  <c r="G92" i="32"/>
  <c r="E92" i="32"/>
  <c r="F92" i="32" s="1"/>
  <c r="F91" i="32"/>
  <c r="E91" i="32"/>
  <c r="G91" i="32" s="1"/>
  <c r="E90" i="32"/>
  <c r="F90" i="32" s="1"/>
  <c r="E89" i="32"/>
  <c r="E88" i="32"/>
  <c r="F88" i="32" s="1"/>
  <c r="F87" i="32"/>
  <c r="E87" i="32"/>
  <c r="G87" i="32" s="1"/>
  <c r="E86" i="32"/>
  <c r="G86" i="32" s="1"/>
  <c r="E85" i="32"/>
  <c r="F85" i="32" s="1"/>
  <c r="G84" i="32"/>
  <c r="E84" i="32"/>
  <c r="F84" i="32" s="1"/>
  <c r="F83" i="32"/>
  <c r="E83" i="32"/>
  <c r="G83" i="32" s="1"/>
  <c r="E82" i="32"/>
  <c r="F82" i="32" s="1"/>
  <c r="E81" i="32"/>
  <c r="E80" i="32"/>
  <c r="F80" i="32" s="1"/>
  <c r="F79" i="32"/>
  <c r="E79" i="32"/>
  <c r="G79" i="32" s="1"/>
  <c r="E78" i="32"/>
  <c r="G78" i="32" s="1"/>
  <c r="E77" i="32"/>
  <c r="F77" i="32" s="1"/>
  <c r="G76" i="32"/>
  <c r="E76" i="32"/>
  <c r="F76" i="32" s="1"/>
  <c r="F75" i="32"/>
  <c r="E75" i="32"/>
  <c r="G75" i="32" s="1"/>
  <c r="E74" i="32"/>
  <c r="F74" i="32" s="1"/>
  <c r="E73" i="32"/>
  <c r="G73" i="32" s="1"/>
  <c r="F72" i="32"/>
  <c r="E72" i="32"/>
  <c r="G72" i="32" s="1"/>
  <c r="E71" i="32"/>
  <c r="F71" i="32" s="1"/>
  <c r="F70" i="32"/>
  <c r="E70" i="32"/>
  <c r="G70" i="32" s="1"/>
  <c r="G69" i="32"/>
  <c r="E69" i="32"/>
  <c r="F69" i="32" s="1"/>
  <c r="E68" i="32"/>
  <c r="G67" i="32"/>
  <c r="F67" i="32"/>
  <c r="E67" i="32"/>
  <c r="G66" i="32"/>
  <c r="E66" i="32"/>
  <c r="F66" i="32" s="1"/>
  <c r="E65" i="32"/>
  <c r="E64" i="32"/>
  <c r="F64" i="32" s="1"/>
  <c r="F63" i="32"/>
  <c r="E63" i="32"/>
  <c r="G63" i="32" s="1"/>
  <c r="E62" i="32"/>
  <c r="G62" i="32" s="1"/>
  <c r="E61" i="32"/>
  <c r="F61" i="32" s="1"/>
  <c r="G60" i="32"/>
  <c r="E60" i="32"/>
  <c r="F60" i="32" s="1"/>
  <c r="E59" i="32"/>
  <c r="G59" i="32" s="1"/>
  <c r="E58" i="32"/>
  <c r="F58" i="32" s="1"/>
  <c r="E57" i="32"/>
  <c r="G57" i="32" s="1"/>
  <c r="E56" i="32"/>
  <c r="G56" i="32" s="1"/>
  <c r="F55" i="32"/>
  <c r="E55" i="32"/>
  <c r="G55" i="32" s="1"/>
  <c r="E54" i="32"/>
  <c r="F54" i="32" s="1"/>
  <c r="E53" i="32"/>
  <c r="G53" i="32" s="1"/>
  <c r="E52" i="32"/>
  <c r="F51" i="32"/>
  <c r="E51" i="32"/>
  <c r="G51" i="32" s="1"/>
  <c r="F50" i="32"/>
  <c r="E50" i="32"/>
  <c r="G50" i="32" s="1"/>
  <c r="E49" i="32"/>
  <c r="G48" i="32"/>
  <c r="F48" i="32"/>
  <c r="E48" i="32"/>
  <c r="E47" i="32"/>
  <c r="F47" i="32" s="1"/>
  <c r="E46" i="32"/>
  <c r="G46" i="32" s="1"/>
  <c r="G45" i="32"/>
  <c r="E45" i="32"/>
  <c r="F45" i="32" s="1"/>
  <c r="G44" i="32"/>
  <c r="E44" i="32"/>
  <c r="F44" i="32" s="1"/>
  <c r="E43" i="32"/>
  <c r="G43" i="32" s="1"/>
  <c r="E42" i="32"/>
  <c r="F42" i="32" s="1"/>
  <c r="F41" i="32"/>
  <c r="E41" i="32"/>
  <c r="G41" i="32" s="1"/>
  <c r="F40" i="32"/>
  <c r="E40" i="32"/>
  <c r="G40" i="32" s="1"/>
  <c r="E39" i="32"/>
  <c r="G39" i="32" s="1"/>
  <c r="G38" i="32"/>
  <c r="F38" i="32"/>
  <c r="E38" i="32"/>
  <c r="G37" i="32"/>
  <c r="E37" i="32"/>
  <c r="F37" i="32" s="1"/>
  <c r="E36" i="32"/>
  <c r="E35" i="32"/>
  <c r="G35" i="32" s="1"/>
  <c r="E34" i="32"/>
  <c r="F34" i="32" s="1"/>
  <c r="E33" i="32"/>
  <c r="G33" i="32" s="1"/>
  <c r="E32" i="32"/>
  <c r="F32" i="32" s="1"/>
  <c r="E31" i="32"/>
  <c r="G31" i="32" s="1"/>
  <c r="E30" i="32"/>
  <c r="G30" i="32" s="1"/>
  <c r="E29" i="32"/>
  <c r="G29" i="32" s="1"/>
  <c r="G28" i="32"/>
  <c r="E28" i="32"/>
  <c r="F28" i="32" s="1"/>
  <c r="E27" i="32"/>
  <c r="G27" i="32" s="1"/>
  <c r="E26" i="32"/>
  <c r="G26" i="32" s="1"/>
  <c r="F25" i="32"/>
  <c r="E25" i="32"/>
  <c r="G25" i="32" s="1"/>
  <c r="G24" i="32"/>
  <c r="E24" i="32"/>
  <c r="F24" i="32" s="1"/>
  <c r="E23" i="32"/>
  <c r="G23" i="32" s="1"/>
  <c r="G22" i="32"/>
  <c r="F22" i="32"/>
  <c r="E22" i="32"/>
  <c r="F21" i="32"/>
  <c r="E21" i="32"/>
  <c r="G21" i="32" s="1"/>
  <c r="E20" i="32"/>
  <c r="F20" i="32" s="1"/>
  <c r="E19" i="32"/>
  <c r="G19" i="32" s="1"/>
  <c r="E18" i="32"/>
  <c r="F18" i="32" s="1"/>
  <c r="E17" i="32"/>
  <c r="G17" i="32" s="1"/>
  <c r="E16" i="32"/>
  <c r="F16" i="32" s="1"/>
  <c r="E15" i="32"/>
  <c r="G15" i="32" s="1"/>
  <c r="E14" i="32"/>
  <c r="G14" i="32" s="1"/>
  <c r="E13" i="32"/>
  <c r="G13" i="32" s="1"/>
  <c r="G12" i="32"/>
  <c r="E12" i="32"/>
  <c r="F12" i="32" s="1"/>
  <c r="E11" i="32"/>
  <c r="G11" i="32" s="1"/>
  <c r="E10" i="32"/>
  <c r="G10" i="32" s="1"/>
  <c r="F9" i="32"/>
  <c r="E9" i="32"/>
  <c r="G9" i="32" s="1"/>
  <c r="G8" i="32"/>
  <c r="E8" i="32"/>
  <c r="F8" i="32" s="1"/>
  <c r="E7" i="32"/>
  <c r="G7" i="32" s="1"/>
  <c r="G6" i="32"/>
  <c r="F6" i="32"/>
  <c r="E6" i="32"/>
  <c r="F5" i="32"/>
  <c r="E5" i="32"/>
  <c r="G5" i="32" s="1"/>
  <c r="E4" i="32"/>
  <c r="F4" i="32" s="1"/>
  <c r="E3" i="32"/>
  <c r="G3" i="32" s="1"/>
  <c r="E2" i="32"/>
  <c r="E379" i="32" s="1"/>
  <c r="G182" i="31"/>
  <c r="G181" i="31"/>
  <c r="G180" i="31"/>
  <c r="G179" i="31"/>
  <c r="G178" i="31"/>
  <c r="G163" i="31"/>
  <c r="G162" i="31"/>
  <c r="G161" i="31"/>
  <c r="F13" i="36" l="1"/>
  <c r="F46" i="36" s="1"/>
  <c r="F184" i="32"/>
  <c r="G189" i="32"/>
  <c r="F200" i="32"/>
  <c r="G205" i="32"/>
  <c r="F216" i="32"/>
  <c r="G221" i="32"/>
  <c r="F232" i="32"/>
  <c r="G237" i="32"/>
  <c r="F248" i="32"/>
  <c r="G253" i="32"/>
  <c r="F264" i="32"/>
  <c r="G269" i="32"/>
  <c r="F280" i="32"/>
  <c r="F294" i="32"/>
  <c r="F299" i="32"/>
  <c r="F323" i="32"/>
  <c r="G336" i="32"/>
  <c r="F345" i="32"/>
  <c r="G360" i="32"/>
  <c r="G2" i="32"/>
  <c r="G18" i="32"/>
  <c r="G34" i="32"/>
  <c r="G54" i="32"/>
  <c r="F3" i="32"/>
  <c r="F15" i="32"/>
  <c r="F19" i="32"/>
  <c r="F31" i="32"/>
  <c r="F35" i="32"/>
  <c r="G47" i="32"/>
  <c r="G64" i="32"/>
  <c r="G71" i="32"/>
  <c r="F7" i="32"/>
  <c r="F11" i="32"/>
  <c r="F23" i="32"/>
  <c r="F27" i="32"/>
  <c r="F39" i="32"/>
  <c r="F56" i="32"/>
  <c r="F180" i="32"/>
  <c r="F196" i="32"/>
  <c r="F212" i="32"/>
  <c r="F228" i="32"/>
  <c r="F244" i="32"/>
  <c r="F260" i="32"/>
  <c r="G270" i="32"/>
  <c r="F319" i="32"/>
  <c r="F371" i="32"/>
  <c r="F23" i="5"/>
  <c r="I122" i="32" s="1"/>
  <c r="J122" i="32" s="1"/>
  <c r="F2" i="32"/>
  <c r="G181" i="32"/>
  <c r="F192" i="32"/>
  <c r="G197" i="32"/>
  <c r="F208" i="32"/>
  <c r="G213" i="32"/>
  <c r="F224" i="32"/>
  <c r="G229" i="32"/>
  <c r="F240" i="32"/>
  <c r="G245" i="32"/>
  <c r="F256" i="32"/>
  <c r="G261" i="32"/>
  <c r="G277" i="32"/>
  <c r="F292" i="32"/>
  <c r="G296" i="32"/>
  <c r="F307" i="32"/>
  <c r="F315" i="32"/>
  <c r="G320" i="32"/>
  <c r="G334" i="32"/>
  <c r="F343" i="32"/>
  <c r="F347" i="32"/>
  <c r="G368" i="32"/>
  <c r="F372" i="32"/>
  <c r="F188" i="32"/>
  <c r="F204" i="32"/>
  <c r="F220" i="32"/>
  <c r="F236" i="32"/>
  <c r="F252" i="32"/>
  <c r="F268" i="32"/>
  <c r="F335" i="32"/>
  <c r="G344" i="32"/>
  <c r="F359" i="32"/>
  <c r="F363" i="32"/>
  <c r="G30" i="27"/>
  <c r="G32" i="27" s="1"/>
  <c r="F30" i="27"/>
  <c r="F32" i="27" s="1"/>
  <c r="X43" i="36"/>
  <c r="X46" i="36" s="1"/>
  <c r="C31" i="30" s="1"/>
  <c r="L45" i="36"/>
  <c r="N45" i="36" s="1"/>
  <c r="AE45" i="36" s="1"/>
  <c r="L33" i="36"/>
  <c r="N33" i="36" s="1"/>
  <c r="P33" i="36" s="1"/>
  <c r="AE33" i="36" s="1"/>
  <c r="E39" i="18"/>
  <c r="AE18" i="36"/>
  <c r="L21" i="36"/>
  <c r="N21" i="36" s="1"/>
  <c r="Y19" i="36"/>
  <c r="S25" i="36"/>
  <c r="AE25" i="36" s="1"/>
  <c r="AC28" i="36"/>
  <c r="AE28" i="36" s="1"/>
  <c r="S20" i="36"/>
  <c r="AE20" i="36" s="1"/>
  <c r="S23" i="36"/>
  <c r="AE23" i="36" s="1"/>
  <c r="AC31" i="36"/>
  <c r="AE31" i="36" s="1"/>
  <c r="L6" i="36"/>
  <c r="N6" i="36" s="1"/>
  <c r="AE6" i="36" s="1"/>
  <c r="E46" i="36"/>
  <c r="S39" i="36"/>
  <c r="AE39" i="36" s="1"/>
  <c r="AC27" i="36"/>
  <c r="Y24" i="36"/>
  <c r="AE24" i="36" s="1"/>
  <c r="AC32" i="36"/>
  <c r="AE32" i="36" s="1"/>
  <c r="L11" i="36"/>
  <c r="N11" i="36" s="1"/>
  <c r="AE11" i="36" s="1"/>
  <c r="AC29" i="36"/>
  <c r="AE29" i="36" s="1"/>
  <c r="P36" i="36"/>
  <c r="AE36" i="36" s="1"/>
  <c r="L13" i="36"/>
  <c r="N13" i="36" s="1"/>
  <c r="J241" i="34"/>
  <c r="K241" i="34" s="1"/>
  <c r="G144" i="32"/>
  <c r="G160" i="32"/>
  <c r="G176" i="32"/>
  <c r="G193" i="32"/>
  <c r="G209" i="32"/>
  <c r="G225" i="32"/>
  <c r="G241" i="32"/>
  <c r="G257" i="32"/>
  <c r="G265" i="32"/>
  <c r="G273" i="32"/>
  <c r="G278" i="32"/>
  <c r="F287" i="32"/>
  <c r="G300" i="32"/>
  <c r="F300" i="32"/>
  <c r="G136" i="32"/>
  <c r="G152" i="32"/>
  <c r="G168" i="32"/>
  <c r="G185" i="32"/>
  <c r="G201" i="32"/>
  <c r="G217" i="32"/>
  <c r="G233" i="32"/>
  <c r="G249" i="32"/>
  <c r="F10" i="32"/>
  <c r="F13" i="32"/>
  <c r="G16" i="32"/>
  <c r="F26" i="32"/>
  <c r="F29" i="32"/>
  <c r="G32" i="32"/>
  <c r="G42" i="32"/>
  <c r="F46" i="32"/>
  <c r="F53" i="32"/>
  <c r="F73" i="32"/>
  <c r="G77" i="32"/>
  <c r="G81" i="32"/>
  <c r="F81" i="32"/>
  <c r="G85" i="32"/>
  <c r="G89" i="32"/>
  <c r="F89" i="32"/>
  <c r="G93" i="32"/>
  <c r="G97" i="32"/>
  <c r="F97" i="32"/>
  <c r="G101" i="32"/>
  <c r="G105" i="32"/>
  <c r="F105" i="32"/>
  <c r="G109" i="32"/>
  <c r="G113" i="32"/>
  <c r="F113" i="32"/>
  <c r="G117" i="32"/>
  <c r="G121" i="32"/>
  <c r="F121" i="32"/>
  <c r="G125" i="32"/>
  <c r="G129" i="32"/>
  <c r="F129" i="32"/>
  <c r="G133" i="32"/>
  <c r="G137" i="32"/>
  <c r="F137" i="32"/>
  <c r="G141" i="32"/>
  <c r="G145" i="32"/>
  <c r="F145" i="32"/>
  <c r="G149" i="32"/>
  <c r="G153" i="32"/>
  <c r="F153" i="32"/>
  <c r="G157" i="32"/>
  <c r="G161" i="32"/>
  <c r="F161" i="32"/>
  <c r="G165" i="32"/>
  <c r="G169" i="32"/>
  <c r="F169" i="32"/>
  <c r="G173" i="32"/>
  <c r="G177" i="32"/>
  <c r="F177" i="32"/>
  <c r="G182" i="32"/>
  <c r="G186" i="32"/>
  <c r="F186" i="32"/>
  <c r="G190" i="32"/>
  <c r="G194" i="32"/>
  <c r="F194" i="32"/>
  <c r="G198" i="32"/>
  <c r="G202" i="32"/>
  <c r="F202" i="32"/>
  <c r="G206" i="32"/>
  <c r="G210" i="32"/>
  <c r="F210" i="32"/>
  <c r="G214" i="32"/>
  <c r="G218" i="32"/>
  <c r="F218" i="32"/>
  <c r="G222" i="32"/>
  <c r="G226" i="32"/>
  <c r="F226" i="32"/>
  <c r="G230" i="32"/>
  <c r="G234" i="32"/>
  <c r="F234" i="32"/>
  <c r="G238" i="32"/>
  <c r="G242" i="32"/>
  <c r="F242" i="32"/>
  <c r="G246" i="32"/>
  <c r="G250" i="32"/>
  <c r="F250" i="32"/>
  <c r="G254" i="32"/>
  <c r="G258" i="32"/>
  <c r="F258" i="32"/>
  <c r="G262" i="32"/>
  <c r="G266" i="32"/>
  <c r="F266" i="32"/>
  <c r="G274" i="32"/>
  <c r="F274" i="32"/>
  <c r="G279" i="32"/>
  <c r="F279" i="32"/>
  <c r="G314" i="32"/>
  <c r="F314" i="32"/>
  <c r="G332" i="32"/>
  <c r="F332" i="32"/>
  <c r="G302" i="32"/>
  <c r="F302" i="32"/>
  <c r="F59" i="32"/>
  <c r="G88" i="32"/>
  <c r="G104" i="32"/>
  <c r="F36" i="32"/>
  <c r="G36" i="32"/>
  <c r="G4" i="32"/>
  <c r="F14" i="32"/>
  <c r="F17" i="32"/>
  <c r="G20" i="32"/>
  <c r="F30" i="32"/>
  <c r="F33" i="32"/>
  <c r="F43" i="32"/>
  <c r="G74" i="32"/>
  <c r="F78" i="32"/>
  <c r="G82" i="32"/>
  <c r="F86" i="32"/>
  <c r="G90" i="32"/>
  <c r="F94" i="32"/>
  <c r="G98" i="32"/>
  <c r="F102" i="32"/>
  <c r="G106" i="32"/>
  <c r="F110" i="32"/>
  <c r="G114" i="32"/>
  <c r="F118" i="32"/>
  <c r="G122" i="32"/>
  <c r="F126" i="32"/>
  <c r="G130" i="32"/>
  <c r="F134" i="32"/>
  <c r="G138" i="32"/>
  <c r="F142" i="32"/>
  <c r="G146" i="32"/>
  <c r="F150" i="32"/>
  <c r="G154" i="32"/>
  <c r="F158" i="32"/>
  <c r="G162" i="32"/>
  <c r="F166" i="32"/>
  <c r="G170" i="32"/>
  <c r="F174" i="32"/>
  <c r="F183" i="32"/>
  <c r="G187" i="32"/>
  <c r="F191" i="32"/>
  <c r="G195" i="32"/>
  <c r="F199" i="32"/>
  <c r="G203" i="32"/>
  <c r="F207" i="32"/>
  <c r="G211" i="32"/>
  <c r="F215" i="32"/>
  <c r="G219" i="32"/>
  <c r="F223" i="32"/>
  <c r="G227" i="32"/>
  <c r="F231" i="32"/>
  <c r="G235" i="32"/>
  <c r="F239" i="32"/>
  <c r="G243" i="32"/>
  <c r="F247" i="32"/>
  <c r="G251" i="32"/>
  <c r="F255" i="32"/>
  <c r="G259" i="32"/>
  <c r="F263" i="32"/>
  <c r="G267" i="32"/>
  <c r="F271" i="32"/>
  <c r="G275" i="32"/>
  <c r="F57" i="32"/>
  <c r="G61" i="32"/>
  <c r="F68" i="32"/>
  <c r="G68" i="32"/>
  <c r="G276" i="32"/>
  <c r="F276" i="32"/>
  <c r="F284" i="32"/>
  <c r="F289" i="32"/>
  <c r="G298" i="32"/>
  <c r="F298" i="32"/>
  <c r="F303" i="32"/>
  <c r="G316" i="32"/>
  <c r="F316" i="32"/>
  <c r="F321" i="32"/>
  <c r="F52" i="32"/>
  <c r="G52" i="32"/>
  <c r="G49" i="32"/>
  <c r="F49" i="32"/>
  <c r="G80" i="32"/>
  <c r="G96" i="32"/>
  <c r="G112" i="32"/>
  <c r="G120" i="32"/>
  <c r="G128" i="32"/>
  <c r="G65" i="32"/>
  <c r="F65" i="32"/>
  <c r="G58" i="32"/>
  <c r="F62" i="32"/>
  <c r="G286" i="32"/>
  <c r="F286" i="32"/>
  <c r="G282" i="32"/>
  <c r="F282" i="32"/>
  <c r="G318" i="32"/>
  <c r="F318" i="32"/>
  <c r="F295" i="32"/>
  <c r="G306" i="32"/>
  <c r="F306" i="32"/>
  <c r="F327" i="32"/>
  <c r="G342" i="32"/>
  <c r="G346" i="32"/>
  <c r="F346" i="32"/>
  <c r="G350" i="32"/>
  <c r="G354" i="32"/>
  <c r="F354" i="32"/>
  <c r="G358" i="32"/>
  <c r="G362" i="32"/>
  <c r="F362" i="32"/>
  <c r="G366" i="32"/>
  <c r="G370" i="32"/>
  <c r="F370" i="32"/>
  <c r="F367" i="32"/>
  <c r="G290" i="32"/>
  <c r="F290" i="32"/>
  <c r="F297" i="32"/>
  <c r="F311" i="32"/>
  <c r="G322" i="32"/>
  <c r="F322" i="32"/>
  <c r="F329" i="32"/>
  <c r="F340" i="32"/>
  <c r="F348" i="32"/>
  <c r="F356" i="32"/>
  <c r="F364" i="32"/>
  <c r="G330" i="32"/>
  <c r="F330" i="32"/>
  <c r="G338" i="32"/>
  <c r="F338" i="32"/>
  <c r="F285" i="32"/>
  <c r="F293" i="32"/>
  <c r="F301" i="32"/>
  <c r="F309" i="32"/>
  <c r="F317" i="32"/>
  <c r="F325" i="32"/>
  <c r="F333" i="32"/>
  <c r="F341" i="32"/>
  <c r="F349" i="32"/>
  <c r="F357" i="32"/>
  <c r="F365" i="32"/>
  <c r="F373" i="32"/>
  <c r="F374" i="32"/>
  <c r="F52" i="5" l="1"/>
  <c r="AE43" i="36"/>
  <c r="E41" i="18"/>
  <c r="D5" i="26"/>
  <c r="D6" i="26" s="1"/>
  <c r="AC46" i="36"/>
  <c r="AE27" i="36"/>
  <c r="AB13" i="36"/>
  <c r="AB46" i="36" s="1"/>
  <c r="C20" i="30" s="1"/>
  <c r="AE19" i="36"/>
  <c r="U21" i="36"/>
  <c r="U46" i="36" s="1"/>
  <c r="AE13" i="36" l="1"/>
  <c r="AE21" i="36"/>
  <c r="B14" i="6" l="1"/>
  <c r="D16" i="6"/>
  <c r="D9" i="5" l="1"/>
  <c r="C5" i="36" s="1"/>
  <c r="L5" i="36" s="1"/>
  <c r="D12" i="5"/>
  <c r="B11" i="22"/>
  <c r="C40" i="36" l="1"/>
  <c r="L40" i="36" s="1"/>
  <c r="N40" i="36" s="1"/>
  <c r="S40" i="36" s="1"/>
  <c r="AE40" i="36" s="1"/>
  <c r="B12" i="22"/>
  <c r="C10" i="36"/>
  <c r="L10" i="36" s="1"/>
  <c r="N10" i="36" s="1"/>
  <c r="S10" i="36" s="1"/>
  <c r="B24" i="8"/>
  <c r="B16" i="6"/>
  <c r="N5" i="36"/>
  <c r="D51" i="28"/>
  <c r="B51" i="28"/>
  <c r="B15" i="28"/>
  <c r="C29" i="27"/>
  <c r="D24" i="27"/>
  <c r="C24" i="27"/>
  <c r="D13" i="27"/>
  <c r="D18" i="27" s="1"/>
  <c r="C13" i="27"/>
  <c r="C18" i="27" s="1"/>
  <c r="B9" i="21"/>
  <c r="B19" i="20"/>
  <c r="C10" i="17"/>
  <c r="B11" i="16"/>
  <c r="C15" i="18" l="1"/>
  <c r="C23" i="18" s="1"/>
  <c r="C11" i="18"/>
  <c r="C37" i="36" s="1"/>
  <c r="L37" i="36" s="1"/>
  <c r="N37" i="36" s="1"/>
  <c r="Q37" i="36" s="1"/>
  <c r="AE37" i="36" s="1"/>
  <c r="AE10" i="36"/>
  <c r="AE5" i="36"/>
  <c r="C30" i="27"/>
  <c r="C32" i="27" s="1"/>
  <c r="D29" i="27"/>
  <c r="B13" i="9"/>
  <c r="B17" i="7"/>
  <c r="B28" i="7"/>
  <c r="B30" i="7" s="1"/>
  <c r="D11" i="5"/>
  <c r="C7" i="36" s="1"/>
  <c r="C23" i="30"/>
  <c r="G19" i="29"/>
  <c r="H19" i="29" s="1"/>
  <c r="G21" i="29"/>
  <c r="H21" i="29" s="1"/>
  <c r="H20" i="29"/>
  <c r="H18" i="29"/>
  <c r="H17" i="29"/>
  <c r="H15" i="29"/>
  <c r="H16" i="29" s="1"/>
  <c r="F22" i="29"/>
  <c r="F25" i="29" s="1"/>
  <c r="E22" i="29"/>
  <c r="E25" i="29" s="1"/>
  <c r="D22" i="29"/>
  <c r="C22" i="29"/>
  <c r="B22" i="29"/>
  <c r="B25" i="29" s="1"/>
  <c r="E43" i="1"/>
  <c r="E42" i="1"/>
  <c r="B6" i="23"/>
  <c r="D47" i="5"/>
  <c r="D35" i="5"/>
  <c r="G51" i="1"/>
  <c r="F51" i="1"/>
  <c r="G50" i="1"/>
  <c r="F50" i="1"/>
  <c r="B44" i="1"/>
  <c r="F43" i="1"/>
  <c r="B10" i="21" l="1"/>
  <c r="C38" i="36"/>
  <c r="L38" i="36" s="1"/>
  <c r="N38" i="36" s="1"/>
  <c r="S38" i="36" s="1"/>
  <c r="AE38" i="36" s="1"/>
  <c r="C12" i="18"/>
  <c r="B20" i="20"/>
  <c r="D13" i="5"/>
  <c r="C9" i="36" s="1"/>
  <c r="L9" i="36" s="1"/>
  <c r="N9" i="36" s="1"/>
  <c r="Q9" i="36" s="1"/>
  <c r="Q46" i="36" s="1"/>
  <c r="D17" i="5"/>
  <c r="B19" i="7" s="1"/>
  <c r="L7" i="36"/>
  <c r="H22" i="29"/>
  <c r="H25" i="29" s="1"/>
  <c r="D30" i="27"/>
  <c r="D32" i="27" s="1"/>
  <c r="G22" i="29"/>
  <c r="E44" i="1"/>
  <c r="F42" i="1"/>
  <c r="F44" i="1" s="1"/>
  <c r="H50" i="1" s="1"/>
  <c r="C8" i="36" l="1"/>
  <c r="L8" i="36" s="1"/>
  <c r="N8" i="36" s="1"/>
  <c r="P8" i="36" s="1"/>
  <c r="AE8" i="36" s="1"/>
  <c r="D21" i="5"/>
  <c r="B15" i="9"/>
  <c r="AE9" i="36"/>
  <c r="D14" i="5"/>
  <c r="N7" i="36"/>
  <c r="H51" i="1"/>
  <c r="D23" i="5" l="1"/>
  <c r="P7" i="36"/>
  <c r="P46" i="36" s="1"/>
  <c r="H23" i="5" l="1"/>
  <c r="AE7" i="36"/>
  <c r="C12" i="30"/>
  <c r="B5" i="24" l="1"/>
  <c r="V42" i="36" s="1"/>
  <c r="C32" i="18" l="1"/>
  <c r="B9" i="24"/>
  <c r="C35" i="18" l="1"/>
  <c r="C42" i="36"/>
  <c r="L42" i="36" s="1"/>
  <c r="N42" i="36" s="1"/>
  <c r="AE42" i="36" s="1"/>
  <c r="L41" i="36"/>
  <c r="Y41" i="36"/>
  <c r="Y46" i="36" s="1"/>
  <c r="C27" i="30" s="1"/>
  <c r="V46" i="36"/>
  <c r="B9" i="25" l="1"/>
  <c r="B11" i="25" s="1"/>
  <c r="C37" i="18" s="1"/>
  <c r="C44" i="36" s="1"/>
  <c r="H44" i="36" s="1"/>
  <c r="H22" i="36" s="1"/>
  <c r="B10" i="24"/>
  <c r="B10" i="17"/>
  <c r="B15" i="17" s="1"/>
  <c r="C28" i="30"/>
  <c r="C29" i="30" s="1"/>
  <c r="N41" i="36"/>
  <c r="C39" i="18" l="1"/>
  <c r="C44" i="18" s="1"/>
  <c r="L44" i="36"/>
  <c r="N44" i="36" s="1"/>
  <c r="AE44" i="36" s="1"/>
  <c r="H46" i="36"/>
  <c r="W41" i="36"/>
  <c r="W46" i="36" s="1"/>
  <c r="B5" i="26" l="1"/>
  <c r="C41" i="18"/>
  <c r="G27" i="29"/>
  <c r="AE41" i="36"/>
  <c r="B6" i="26" l="1"/>
  <c r="B8" i="26"/>
  <c r="E238" i="34"/>
  <c r="E241" i="34" s="1"/>
  <c r="H241" i="34" l="1"/>
  <c r="E247" i="34"/>
  <c r="C196" i="33"/>
  <c r="E196" i="33" s="1"/>
  <c r="E224" i="33" l="1"/>
  <c r="E225" i="33" s="1"/>
  <c r="F227" i="33" s="1"/>
  <c r="E205" i="31"/>
  <c r="C229" i="33"/>
  <c r="C231" i="33" s="1"/>
  <c r="C224" i="33"/>
  <c r="B8" i="13" l="1"/>
  <c r="B10" i="13" s="1"/>
  <c r="E237" i="31"/>
  <c r="E239" i="31" s="1"/>
  <c r="F224" i="33"/>
  <c r="C225" i="33"/>
  <c r="D29" i="5" l="1"/>
  <c r="C22" i="36" l="1"/>
  <c r="D30" i="5"/>
  <c r="D37" i="5" s="1"/>
  <c r="D49" i="5" s="1"/>
  <c r="D52" i="5" s="1"/>
  <c r="B16" i="13"/>
  <c r="C46" i="36" l="1"/>
  <c r="L22" i="36"/>
  <c r="N22" i="36" l="1"/>
  <c r="L46" i="36"/>
  <c r="S22" i="36" l="1"/>
  <c r="S46" i="36" s="1"/>
  <c r="AE48" i="36" s="1"/>
  <c r="N46" i="36"/>
  <c r="AE22" i="36" l="1"/>
  <c r="AE46" i="36" s="1"/>
  <c r="AE49" i="36" s="1"/>
  <c r="C13" i="30"/>
  <c r="C14" i="30" s="1"/>
  <c r="C16" i="30" s="1"/>
  <c r="C33" i="30" s="1"/>
  <c r="C37" i="30" s="1"/>
  <c r="C41" i="30" s="1"/>
  <c r="AE50" i="36" l="1"/>
</calcChain>
</file>

<file path=xl/sharedStrings.xml><?xml version="1.0" encoding="utf-8"?>
<sst xmlns="http://schemas.openxmlformats.org/spreadsheetml/2006/main" count="3999" uniqueCount="1563">
  <si>
    <t>ESTADOS FINANCIEROS</t>
  </si>
  <si>
    <r>
      <t>DENOMINACION:</t>
    </r>
    <r>
      <rPr>
        <i/>
        <sz val="10"/>
        <rFont val="Times New Roman"/>
        <family val="1"/>
      </rPr>
      <t xml:space="preserve"> </t>
    </r>
    <r>
      <rPr>
        <b/>
        <i/>
        <sz val="10"/>
        <rFont val="Times New Roman"/>
        <family val="1"/>
      </rPr>
      <t xml:space="preserve">      VILUX S.A.</t>
    </r>
  </si>
  <si>
    <r>
      <t>DOMICILIO LEGAL</t>
    </r>
    <r>
      <rPr>
        <i/>
        <sz val="10"/>
        <rFont val="Times New Roman"/>
        <family val="1"/>
      </rPr>
      <t>:    PITIANTUTA N° 637 - FDO. DE LA MORA</t>
    </r>
    <r>
      <rPr>
        <b/>
        <i/>
        <sz val="10"/>
        <rFont val="Times New Roman"/>
        <family val="1"/>
      </rPr>
      <t xml:space="preserve">      TELEFONO:    </t>
    </r>
    <r>
      <rPr>
        <i/>
        <sz val="10"/>
        <rFont val="Times New Roman"/>
        <family val="1"/>
      </rPr>
      <t>5188000</t>
    </r>
  </si>
  <si>
    <r>
      <t>ACTIVIDAD PRINCIPAL</t>
    </r>
    <r>
      <rPr>
        <i/>
        <sz val="10"/>
        <rFont val="Times New Roman"/>
        <family val="1"/>
      </rPr>
      <t>: Fabricacion de otros productos de vidrios n.c.p.</t>
    </r>
  </si>
  <si>
    <r>
      <t>ACTIVIDADES SECUNDARIAS</t>
    </r>
    <r>
      <rPr>
        <i/>
        <sz val="10"/>
        <rFont val="Times New Roman"/>
        <family val="1"/>
      </rPr>
      <t>:</t>
    </r>
    <r>
      <rPr>
        <b/>
        <i/>
        <sz val="10"/>
        <rFont val="Times New Roman"/>
        <family val="1"/>
      </rPr>
      <t xml:space="preserve"> </t>
    </r>
    <r>
      <rPr>
        <i/>
        <sz val="10"/>
        <rFont val="Times New Roman"/>
        <family val="1"/>
      </rPr>
      <t>Comercio al por mayor de otros productos n.c.p.</t>
    </r>
  </si>
  <si>
    <r>
      <t xml:space="preserve">INSCRIPCION EN EL  REGISTRO PÚBLICO DE COMERCIO </t>
    </r>
    <r>
      <rPr>
        <i/>
        <sz val="10"/>
        <rFont val="Times New Roman"/>
        <family val="1"/>
      </rPr>
      <t xml:space="preserve">Del Estatuto o Contrato Social: N° 11 - Año 1998 De la Última Modificación: Escritura Pública Nº 497 del 18 de octubre de 2021 e inscripta en el Registro Público de Comercio el 22 de noviembre de 2021, a cargo de la Escribano Jose Maria Zubizarreta.        </t>
    </r>
  </si>
  <si>
    <t xml:space="preserve">    </t>
  </si>
  <si>
    <r>
      <t>INSCRIPCION EN LA COMISION NACIONAL DE VALORES</t>
    </r>
    <r>
      <rPr>
        <i/>
        <sz val="10"/>
        <rFont val="Times New Roman"/>
        <family val="1"/>
      </rPr>
      <t xml:space="preserve">: </t>
    </r>
  </si>
  <si>
    <r>
      <t>FECHA DE VENCIMIENTO DEL ESTATUTO O CONTRATO SOCIAL</t>
    </r>
    <r>
      <rPr>
        <i/>
        <sz val="10"/>
        <rFont val="Times New Roman"/>
        <family val="1"/>
      </rPr>
      <t>: AÑO 2120</t>
    </r>
  </si>
  <si>
    <t>ADMINISTRACIÓN</t>
  </si>
  <si>
    <t xml:space="preserve">CARGO </t>
  </si>
  <si>
    <t>NOMBRE Y APELLIDO</t>
  </si>
  <si>
    <t>Presidente</t>
  </si>
  <si>
    <t>COSTA FLORES, CARLOS ALFREDO</t>
  </si>
  <si>
    <t>Vicepresidente</t>
  </si>
  <si>
    <t>CANDIA TROMBETTA, NILDA</t>
  </si>
  <si>
    <t>Director Titular</t>
  </si>
  <si>
    <t>COSTA CANDIA, SEBASTIAN</t>
  </si>
  <si>
    <t>Síndico</t>
  </si>
  <si>
    <t>RUFFINELLI, CARLOS</t>
  </si>
  <si>
    <r>
      <t>COMPOSICION DEL CAPITAL</t>
    </r>
    <r>
      <rPr>
        <i/>
        <sz val="10"/>
        <rFont val="Times New Roman"/>
        <family val="1"/>
      </rPr>
      <t>: Acciones Ordinarias Nominativas.</t>
    </r>
  </si>
  <si>
    <r>
      <t>ACCIONES:</t>
    </r>
    <r>
      <rPr>
        <i/>
        <sz val="10"/>
        <rFont val="Times New Roman"/>
        <family val="1"/>
      </rPr>
      <t xml:space="preserve"> Guaraníes  1.000.000.- Cada Una.</t>
    </r>
  </si>
  <si>
    <t>CANTIDAD</t>
  </si>
  <si>
    <t>TIPO</t>
  </si>
  <si>
    <t>N° VOTOS      C/U</t>
  </si>
  <si>
    <t>SUSCRIPTO GUARANIES</t>
  </si>
  <si>
    <t>INTEGRADO GUARANIES</t>
  </si>
  <si>
    <t>ORDIN. “A”</t>
  </si>
  <si>
    <t>ORDIN. “B”</t>
  </si>
  <si>
    <t>TOTALES</t>
  </si>
  <si>
    <r>
      <t xml:space="preserve">COMPOSICIÓN ACCIONARIA: </t>
    </r>
    <r>
      <rPr>
        <i/>
        <sz val="10"/>
        <rFont val="Times New Roman"/>
        <family val="1"/>
      </rPr>
      <t>Accionistas que detentan el diez (10) por ciento o más de participación en el capital.</t>
    </r>
  </si>
  <si>
    <t>Accionista</t>
  </si>
  <si>
    <t>Cantidad de Acciones</t>
  </si>
  <si>
    <t>Categoría de Acciones</t>
  </si>
  <si>
    <t>Valor de cada una</t>
  </si>
  <si>
    <t>Monto</t>
  </si>
  <si>
    <t>Voto</t>
  </si>
  <si>
    <t>% de participación del capital integrado</t>
  </si>
  <si>
    <t>CARLOS COSTA FLORES</t>
  </si>
  <si>
    <t>ORDINARIAS</t>
  </si>
  <si>
    <t>DI VETRO S.A.</t>
  </si>
  <si>
    <t>Sociedad:</t>
  </si>
  <si>
    <t>VILUX S.A.</t>
  </si>
  <si>
    <t>Enero</t>
  </si>
  <si>
    <t>Febrero</t>
  </si>
  <si>
    <t>Marzo</t>
  </si>
  <si>
    <t>Abril</t>
  </si>
  <si>
    <t>Fecha Presentación:</t>
  </si>
  <si>
    <t>Mayo</t>
  </si>
  <si>
    <t>Julio</t>
  </si>
  <si>
    <t>INDICE</t>
  </si>
  <si>
    <t>REF.</t>
  </si>
  <si>
    <t>Agosto</t>
  </si>
  <si>
    <t>Informacion General</t>
  </si>
  <si>
    <t>Septiembre</t>
  </si>
  <si>
    <t>Descripción de la naturaleza y del negocio de la Sociedad</t>
  </si>
  <si>
    <t>Nota 1</t>
  </si>
  <si>
    <t>Octubre</t>
  </si>
  <si>
    <t>Resumen de las principales políticas contables</t>
  </si>
  <si>
    <t>Nota 2</t>
  </si>
  <si>
    <t>Noviembre</t>
  </si>
  <si>
    <t>Balance General</t>
  </si>
  <si>
    <t>BG</t>
  </si>
  <si>
    <t>Diciembre</t>
  </si>
  <si>
    <t>Efectivo y equivalente de efectivo</t>
  </si>
  <si>
    <t>Nota 3</t>
  </si>
  <si>
    <t>Cuentas por cobrar comerciales</t>
  </si>
  <si>
    <t>Nota 4</t>
  </si>
  <si>
    <t>Otros créditos</t>
  </si>
  <si>
    <t>Nota 5</t>
  </si>
  <si>
    <t>Inventarios</t>
  </si>
  <si>
    <t>Nota 6</t>
  </si>
  <si>
    <t>Propiedades, planta y equipo - neto</t>
  </si>
  <si>
    <t>Nota 7</t>
  </si>
  <si>
    <t>Cuentas por pagar comerciales</t>
  </si>
  <si>
    <t>Nota 8</t>
  </si>
  <si>
    <t>Préstamos a corto plazo</t>
  </si>
  <si>
    <t>Nota 9</t>
  </si>
  <si>
    <t>Porción corriente de la deuda a largo plazo</t>
  </si>
  <si>
    <t>Remuneraciones y cargas sociales a pagar</t>
  </si>
  <si>
    <t>Nota 10</t>
  </si>
  <si>
    <t>Impuestos a pagar</t>
  </si>
  <si>
    <t>Provisiones</t>
  </si>
  <si>
    <t>Otros pasivos corrientes</t>
  </si>
  <si>
    <t>Capital integrado</t>
  </si>
  <si>
    <t>Nota 11</t>
  </si>
  <si>
    <t>Reserva de revalúo</t>
  </si>
  <si>
    <t>Nota 12</t>
  </si>
  <si>
    <t>Reserva legal</t>
  </si>
  <si>
    <t>Reservas estatutarias</t>
  </si>
  <si>
    <t>Reservas facultativas</t>
  </si>
  <si>
    <t>Resultados acumulados</t>
  </si>
  <si>
    <t>Nota 13</t>
  </si>
  <si>
    <t xml:space="preserve">Estado de Resultados </t>
  </si>
  <si>
    <t>ER</t>
  </si>
  <si>
    <t>Ventas</t>
  </si>
  <si>
    <t>Nota 14</t>
  </si>
  <si>
    <t>Costo de ventas</t>
  </si>
  <si>
    <t>Nota 15</t>
  </si>
  <si>
    <t>Gastos de ventas</t>
  </si>
  <si>
    <t>Nota 16</t>
  </si>
  <si>
    <t>Gastos administrativos</t>
  </si>
  <si>
    <t>Nota 17</t>
  </si>
  <si>
    <t>Otros ingresos y gastos operativos</t>
  </si>
  <si>
    <t>Nota 18</t>
  </si>
  <si>
    <t>Ingresos financieros - neto</t>
  </si>
  <si>
    <t>Nota 19</t>
  </si>
  <si>
    <t>Gastos financieros - neto</t>
  </si>
  <si>
    <t>Nota19</t>
  </si>
  <si>
    <t>Impuesto a la renta</t>
  </si>
  <si>
    <t>Nota 20</t>
  </si>
  <si>
    <t>Utilidad/(Pérdida) neta del año</t>
  </si>
  <si>
    <t>Utilidad neta por acción ordinaria</t>
  </si>
  <si>
    <t>Nota 21</t>
  </si>
  <si>
    <t>Estado de Evolución del Patrimonio Neto</t>
  </si>
  <si>
    <t>EVPN</t>
  </si>
  <si>
    <t>Estado de Flujos de Efectivo</t>
  </si>
  <si>
    <t>EFE</t>
  </si>
  <si>
    <t>Indice</t>
  </si>
  <si>
    <t xml:space="preserve">Presentadas en forma comparativa con el periodo terminado </t>
  </si>
  <si>
    <t xml:space="preserve"> </t>
  </si>
  <si>
    <t>NOTA 1 – Información básica sobre la entidad</t>
  </si>
  <si>
    <t>La Sociedad fue constituida en Asunción, Paraguay por Escritura Pública Nº 11 del 17 de febrero de 1998 con</t>
  </si>
  <si>
    <t>una duración de 99 años.</t>
  </si>
  <si>
    <t>Los estatutos sociales de la Sociedad fueron inscriptos en el Registro Público de Comercio el 26 de marzo de</t>
  </si>
  <si>
    <t>1998 bajo el Nº 196 folio 1.359 y siguientes de la Sección Contratos Serie “A”.</t>
  </si>
  <si>
    <t>Los estatutos sociales fueron modificados según:</t>
  </si>
  <si>
    <t>° Escritura Pública Nº 16 del 10 de mayo de 2001 e inscripta en el Registro Público de Comercio el 19</t>
  </si>
  <si>
    <t>de junio de 2001, bajo el Nº 489 Serie “B”, folio 5.025 y siguientes.</t>
  </si>
  <si>
    <t>° Escritura Pública Nº 11 del 20 de junio de 2003 e inscripta en el Registro Público de Comercio el 25</t>
  </si>
  <si>
    <t>de julio de 2003, bajo el Nº 11 Serie “A”, folio 29 y siguientes.</t>
  </si>
  <si>
    <t>° Escritura Pública Nº 90 del 26 de diciembre de 2005 e inscripta en el Registro Público de Comercio el</t>
  </si>
  <si>
    <t>27 de febrero de 2006, bajo el Nº 306 Serie “D”, folio 833 y siguientes.</t>
  </si>
  <si>
    <t>° Escritura Pública Nº 15 del 31 de diciembre de 2007 e inscripta en el Registro Público de Comercio el</t>
  </si>
  <si>
    <t>16 de mayo de 2008, bajo el Nº 225 Serie “A”, folio 2244 y siguientes.</t>
  </si>
  <si>
    <t>° Escritura Pública Nº 214 del 28 de junio de 2011 e inscripta en el Registro Público de Comercio el 28</t>
  </si>
  <si>
    <t>de julio de 2011, bajo el Nº 552 Serie “A”, folio 4.756 y siguientes.</t>
  </si>
  <si>
    <t>° Escritura Pública Nº 177 del 11 de mayo de 2012 e inscripta en el Registro Público de Comercio el 5</t>
  </si>
  <si>
    <t>de junio de 2012, bajo el Nº 591 Serie “A”, folio 5460 y siguientes.</t>
  </si>
  <si>
    <t>° Escritura Pública Nº 409 del 14 de julio de 2014 e inscripta en el Registro Público de Comercio el 25</t>
  </si>
  <si>
    <t>de julio de 2014, bajo el Nº 860 Serie “C”, folio 5308 y siguientes.</t>
  </si>
  <si>
    <t>° Escritura Pública Nº 497 del 18 de octubre de 2021 e inscripta en el Registro Público de Comercio el</t>
  </si>
  <si>
    <t>22 de noviembre de 2021, bajo el Nº 1 Serie comercial, folio 1 y siguientes.</t>
  </si>
  <si>
    <t>° Escritura Pública Nº 31 del 26 de enero de 2022 e inscripta en el Registro Público de Comercio el 22</t>
  </si>
  <si>
    <t>de febrero de 2022, bajo el Nº 2 Serie comercial, folio 15 y siguientes.</t>
  </si>
  <si>
    <t>La Sociedad tiene por actividad principal dedicarse a la importación, procesamiento, industrialización y</t>
  </si>
  <si>
    <t>comercialización de vidrios, importación de perfiles, herrajes y materiales de construcción en seco así como</t>
  </si>
  <si>
    <t>también de cualquier otro tipo de mercaderías. Su domicilio legal actual está ubicado en la calle Pitiantuta 637</t>
  </si>
  <si>
    <t>NOTA 2 - Principales políticas y prácticas contables aplicadas</t>
  </si>
  <si>
    <t>A continuación resumen las políticas de contabilidad más significativas aplicadas por la Sociedad:</t>
  </si>
  <si>
    <t>a.</t>
  </si>
  <si>
    <t>Bases de contabilización</t>
  </si>
  <si>
    <t xml:space="preserve">b.            </t>
  </si>
  <si>
    <t>Uso de estimaciones</t>
  </si>
  <si>
    <t>c.</t>
  </si>
  <si>
    <t>Moneda extranjera</t>
  </si>
  <si>
    <t>Compra</t>
  </si>
  <si>
    <t>Venta</t>
  </si>
  <si>
    <t>Dólar Americano</t>
  </si>
  <si>
    <t>Euros</t>
  </si>
  <si>
    <t>Real</t>
  </si>
  <si>
    <t>d.</t>
  </si>
  <si>
    <t>Efectivo y equivalentes de efectivo</t>
  </si>
  <si>
    <t>e.</t>
  </si>
  <si>
    <t>Créditos por ventas y otros créditos</t>
  </si>
  <si>
    <t>Los créditos por ventas y otros créditos se presentan por su costo menos cualquier pérdida por incobrabilidad.</t>
  </si>
  <si>
    <t>f.</t>
  </si>
  <si>
    <t>Previsiones para cuentas incobrables</t>
  </si>
  <si>
    <t xml:space="preserve">g.              </t>
  </si>
  <si>
    <t>Bienes de cambio</t>
  </si>
  <si>
    <t>Las existencias se valúan a su costo de adquisición de acuerdo con el criterio de valuación de salidas de existencias “promedio ponderado”. El valor contable de las existencias no supera el valor probable de realización de las mismas. Las previsiones para desvalorización y deterioro de inventarios se estiman tomando como base la valorización del stock deteriorado existente al cierre del ejercicio. Ver nota 6.</t>
  </si>
  <si>
    <t xml:space="preserve">h.             </t>
  </si>
  <si>
    <t>Bienes de uso</t>
  </si>
  <si>
    <r>
      <rPr>
        <b/>
        <sz val="11"/>
        <color rgb="FF000000"/>
        <rFont val="Times New Roman"/>
        <family val="1"/>
      </rPr>
      <t xml:space="preserve">Valor Bruto                                                                                                                                                                                                                                                       </t>
    </r>
    <r>
      <rPr>
        <sz val="11"/>
        <color rgb="FF000000"/>
        <rFont val="Times New Roman"/>
        <family val="1"/>
      </rPr>
      <t>Los bienes de uso figuran presentados a sus valores de adquisición, netos de depreciaciones y pérdidase por deterioro cuando corresponde, dichos bienes serán re expresados cuando la variación en el índice general de precios al consumo alcance al menos el 20% acumulado desde el ejercicio en el cual se haya dispuesto el último ajuste por revalúo.</t>
    </r>
  </si>
  <si>
    <r>
      <t xml:space="preserve">Gastos posteriores                                                                                                                                                                                                                                            </t>
    </r>
    <r>
      <rPr>
        <sz val="11"/>
        <color rgb="FF000000"/>
        <rFont val="Times New Roman"/>
        <family val="1"/>
      </rPr>
      <t>Los gastos posteriores incurridos para reemplazar un componente de un bien de uso son únicamente activados cuando éstos incrementan los beneficios futuros del mismo. Los demás gastos son reconocidos en el Estado de Resultados en el momento en que se incurren.</t>
    </r>
  </si>
  <si>
    <r>
      <t xml:space="preserve">Depreciaciones                                                                                                                                                                                                                                                              </t>
    </r>
    <r>
      <rPr>
        <sz val="11"/>
        <color rgb="FF000000"/>
        <rFont val="Times New Roman"/>
        <family val="1"/>
      </rPr>
      <t>Las depreciaciones se calculan usando porcentajes fijos sobre el costo de los bienes de uso menos sus valores residuales, estimados según la vida útil esperada para cada categoría, a partir del año siguiente de la fecha de su incorporación. Los valores residuales y las vidas útiles serán revisados, y en su caso ajustados, al final de cada periodo.
Adicionalmente la Sociedad realiza una evaluación del valor de mercado de las obras en inmuebles una vez que estas hayan finalizado, a través del informe de peritos independientes, y en caso de registrarse un valor superior al contable, se registra el incremento correspondiente con crédito a la reserva patrimonial denominada “Revalúo técnico”.</t>
    </r>
  </si>
  <si>
    <t xml:space="preserve">i.             </t>
  </si>
  <si>
    <t>Intangibles</t>
  </si>
  <si>
    <t>Los intangibles se exponen a su costo incurrido menos las correspondientes amortizaciones acumuladas al cierre del año.</t>
  </si>
  <si>
    <t xml:space="preserve">j.              </t>
  </si>
  <si>
    <t>Deudas comerciales y diversas</t>
  </si>
  <si>
    <t>Las deudas comerciales y diversas están presentadas a su costo amortizado.</t>
  </si>
  <si>
    <t xml:space="preserve">k.              </t>
  </si>
  <si>
    <t>Deudas financieras</t>
  </si>
  <si>
    <t>Las deudas financieras están presentadas a su costo amortizado, con cualquier diferencia entre el costo y su valor de cancelación, reconocida en el Estado de Resultados durante el período de financiamiento, utilizando tasas de interés efectivas</t>
  </si>
  <si>
    <t xml:space="preserve">l.             </t>
  </si>
  <si>
    <t>Patrimonio</t>
  </si>
  <si>
    <t>Los dividendos son reconocidos como pasivo en la fecha que son aprobados.</t>
  </si>
  <si>
    <t xml:space="preserve">m.             </t>
  </si>
  <si>
    <t>Reconocimiento de ingresos y egresos</t>
  </si>
  <si>
    <t>Los ingresos provenientes de la venta de mercaderías se miden al valor de venta del bien, neto de cualquier descuento o rebaja comercial. El ingreso es reconocido cuando los principales riesgos y beneficios que se derivan de la propiedad se han traspasado al adquiriente, su recuperación es probable y los costos incurridos y el monto del ingreso pueden ser medidos con fiabilidad.
Los egresos se registran con base en el criterio de lo devengado. Los costos de venta son registrados en el período en que se contabilizan las ventas relacionadas.</t>
  </si>
  <si>
    <t xml:space="preserve">n.             </t>
  </si>
  <si>
    <t>El impuesto a la renta que se carga a los resultados del año se basa en la utilidad contable antes de este concepto, ajustada por las partidas que la Ley incluye o excluye para la determinación de la utilidad gravable a la que se aplica la tasa del impuesto y por el reconocimiento del cargo o el ingreso originados por la aplicación del impuesto diferido, si los hubiere. La tasa legal es del 10% para los períodos presentados.</t>
  </si>
  <si>
    <t xml:space="preserve">o.             </t>
  </si>
  <si>
    <t>Indemnizaciones por despido</t>
  </si>
  <si>
    <t>Las indemnizaciones por despido son cargadas a resultados en el momento de su pago.</t>
  </si>
  <si>
    <t xml:space="preserve">p.              </t>
  </si>
  <si>
    <t>Partes relacionadas</t>
  </si>
  <si>
    <t>Los saldos con partes relacionadas han sido valuados de acuerdo con las condiciones pactadas entre las partes involucradas.</t>
  </si>
  <si>
    <t>Al 31 de Diciembre de 2021</t>
  </si>
  <si>
    <t>Al 31 de Diciembre de 2020</t>
  </si>
  <si>
    <t>Vilux S.A.</t>
  </si>
  <si>
    <t>(En Guaraníes)</t>
  </si>
  <si>
    <t>Nota</t>
  </si>
  <si>
    <t>Dic-2021</t>
  </si>
  <si>
    <t xml:space="preserve">ACTIVO </t>
  </si>
  <si>
    <t>Activo Corriente</t>
  </si>
  <si>
    <t>Inversiones temporales</t>
  </si>
  <si>
    <t>Créditos por ventas</t>
  </si>
  <si>
    <t>Total Activo Corriente</t>
  </si>
  <si>
    <t>Activo No Corriente</t>
  </si>
  <si>
    <r>
      <t xml:space="preserve">Créditos por ventas </t>
    </r>
    <r>
      <rPr>
        <sz val="10"/>
        <color rgb="FFFFFFFF"/>
        <rFont val="Times New Roman"/>
        <family val="1"/>
      </rPr>
      <t>(NC)</t>
    </r>
  </si>
  <si>
    <r>
      <t xml:space="preserve">Otros créditos </t>
    </r>
    <r>
      <rPr>
        <sz val="10"/>
        <color rgb="FFFFFFFF"/>
        <rFont val="Times New Roman"/>
        <family val="1"/>
      </rPr>
      <t>(NC)</t>
    </r>
  </si>
  <si>
    <t>Bienes de uso (Neto)</t>
  </si>
  <si>
    <t>Intangibles (Neto)</t>
  </si>
  <si>
    <t>Total Activo No Corriente</t>
  </si>
  <si>
    <t>TOTAL ACTIVO</t>
  </si>
  <si>
    <t xml:space="preserve">PASIVO </t>
  </si>
  <si>
    <t>Pasivo Corriente</t>
  </si>
  <si>
    <t>Deudas comerciales</t>
  </si>
  <si>
    <t>Deudas diversas</t>
  </si>
  <si>
    <t>Total Pasivo Corriente</t>
  </si>
  <si>
    <t>Pasivo No Corriente</t>
  </si>
  <si>
    <r>
      <t xml:space="preserve">Deudas financieras </t>
    </r>
    <r>
      <rPr>
        <sz val="10"/>
        <color rgb="FFFFFFFF"/>
        <rFont val="Times New Roman"/>
        <family val="1"/>
      </rPr>
      <t>(NC)</t>
    </r>
  </si>
  <si>
    <r>
      <t xml:space="preserve">Deudas diversas </t>
    </r>
    <r>
      <rPr>
        <sz val="10"/>
        <color rgb="FFFFFFFF"/>
        <rFont val="Times New Roman"/>
        <family val="1"/>
      </rPr>
      <t>(NC)</t>
    </r>
  </si>
  <si>
    <t>Total Pasivo No Corriente</t>
  </si>
  <si>
    <t>TOTAL PASIVO</t>
  </si>
  <si>
    <t>PATRIMONIO</t>
  </si>
  <si>
    <t>Capital</t>
  </si>
  <si>
    <t>Aportes a capitalizar</t>
  </si>
  <si>
    <t>Revaluo técnico</t>
  </si>
  <si>
    <t>Resultado del año</t>
  </si>
  <si>
    <t>TOTAL PATRIMONIO</t>
  </si>
  <si>
    <t>TOTAL PASIVO Y PATRIMONIO</t>
  </si>
  <si>
    <t>El Anexo y las notas 1 a 20 que se acompañan forman parte integral de los estados financieros.</t>
  </si>
  <si>
    <t>Nota 3 – Disponibilidades</t>
  </si>
  <si>
    <t>Corriente</t>
  </si>
  <si>
    <t>Bancos Gs.</t>
  </si>
  <si>
    <t>Inversión de alta liquidez - Banco Basa Gs.</t>
  </si>
  <si>
    <t>Inversión de alta liquidez - Banco Regional USD</t>
  </si>
  <si>
    <t>Bancos USD</t>
  </si>
  <si>
    <t>Inversión de alta liquidez - Banco Basa USD</t>
  </si>
  <si>
    <t>Recaudaciones a depositar</t>
  </si>
  <si>
    <t>Fondo fijo</t>
  </si>
  <si>
    <t>Caja</t>
  </si>
  <si>
    <t>Cuentas transitorias</t>
  </si>
  <si>
    <t>Total</t>
  </si>
  <si>
    <t>Control vs. BG</t>
  </si>
  <si>
    <t>Nota 4 – Créditos por ventas</t>
  </si>
  <si>
    <t>Cheques diferidos</t>
  </si>
  <si>
    <t>Clientes</t>
  </si>
  <si>
    <t>Cheques rechazados</t>
  </si>
  <si>
    <t>Cheques negociados</t>
  </si>
  <si>
    <t>Tarjetas al cobro bancard</t>
  </si>
  <si>
    <t>Previsión para cuentas incobrables</t>
  </si>
  <si>
    <t>No Corriente</t>
  </si>
  <si>
    <r>
      <t xml:space="preserve">Créditos en gestión de cobro </t>
    </r>
    <r>
      <rPr>
        <sz val="11"/>
        <color rgb="FFFFFFFF"/>
        <rFont val="Times New Roman"/>
        <family val="1"/>
      </rPr>
      <t>NC</t>
    </r>
  </si>
  <si>
    <r>
      <t>Cheques en gestión judicial</t>
    </r>
    <r>
      <rPr>
        <sz val="11"/>
        <color rgb="FFFFFFFF"/>
        <rFont val="Times New Roman"/>
        <family val="1"/>
      </rPr>
      <t xml:space="preserve"> NC</t>
    </r>
  </si>
  <si>
    <t>La siguiente es la evolución de la previsión para deudores incobrables:</t>
  </si>
  <si>
    <t xml:space="preserve">Saldo al inicio </t>
  </si>
  <si>
    <t>Constitución de previsiones</t>
  </si>
  <si>
    <t xml:space="preserve">Desafectación de previsiones </t>
  </si>
  <si>
    <t>Saldo al cierre</t>
  </si>
  <si>
    <t>Nota 5 – Otros créditos</t>
  </si>
  <si>
    <t>Anticipo a proveedores del exterior</t>
  </si>
  <si>
    <t>Siniestro a cobrar</t>
  </si>
  <si>
    <t>Otros anticipos</t>
  </si>
  <si>
    <t>Otras garantías</t>
  </si>
  <si>
    <t>Depósito judicial RRHH</t>
  </si>
  <si>
    <t>Garantías de alquiler</t>
  </si>
  <si>
    <t>Créditos fiscales</t>
  </si>
  <si>
    <t>Anticipo a proveedores locales</t>
  </si>
  <si>
    <t>Otras cuentas a cobrar</t>
  </si>
  <si>
    <t xml:space="preserve">Total </t>
  </si>
  <si>
    <r>
      <t xml:space="preserve">Anticipo y retenciones de impuesto a la renta </t>
    </r>
    <r>
      <rPr>
        <sz val="11"/>
        <color rgb="FFFFFFFF"/>
        <rFont val="Times New Roman"/>
        <family val="1"/>
      </rPr>
      <t>NC</t>
    </r>
  </si>
  <si>
    <t>Nota 6 – Bienes de cambio</t>
  </si>
  <si>
    <t>Mercaderias - Vidrios</t>
  </si>
  <si>
    <t>Mercaderias - Carpinteria de aluminio</t>
  </si>
  <si>
    <t>Mercaderias - Perfiles y herrajes</t>
  </si>
  <si>
    <t>Mercaderias - Construccion en seco</t>
  </si>
  <si>
    <t>Mercaderias - Importadas</t>
  </si>
  <si>
    <t>Insumos</t>
  </si>
  <si>
    <t>Mercaderias - Otros</t>
  </si>
  <si>
    <t>Nota 7 – Bienes de uso (Neto) e Intangibles (Neto)</t>
  </si>
  <si>
    <t>Bajas</t>
  </si>
  <si>
    <t>Transferencias</t>
  </si>
  <si>
    <t>Ajustes</t>
  </si>
  <si>
    <t>Terrenos</t>
  </si>
  <si>
    <t>Edificios</t>
  </si>
  <si>
    <t>Rodados</t>
  </si>
  <si>
    <t>Maquinarias y equipos</t>
  </si>
  <si>
    <t>Herramientas y equipos</t>
  </si>
  <si>
    <t>Muebles y equipos</t>
  </si>
  <si>
    <t>Instalaciones varias</t>
  </si>
  <si>
    <t>Construcción en propiedad de terceros</t>
  </si>
  <si>
    <t>Equipos de informática</t>
  </si>
  <si>
    <t>Obras en curso</t>
  </si>
  <si>
    <t>Desarrollo de software</t>
  </si>
  <si>
    <t>Nota 8 – Deudas comerciales</t>
  </si>
  <si>
    <t>Glassber S.A</t>
  </si>
  <si>
    <t>Alukler S.A</t>
  </si>
  <si>
    <t>Transportadora Carlos Costa S.A</t>
  </si>
  <si>
    <t>Di Vetro S.A</t>
  </si>
  <si>
    <t>Anticipo a clientes</t>
  </si>
  <si>
    <t>Proveedores locales</t>
  </si>
  <si>
    <t>Proveedores del exterior</t>
  </si>
  <si>
    <t>Provisiones comerciales</t>
  </si>
  <si>
    <t>Acreedores varios</t>
  </si>
  <si>
    <t>Nota 9 – Deudas financieras</t>
  </si>
  <si>
    <t>Nota 10 – Deudas diversas</t>
  </si>
  <si>
    <t>Retribuciones y cargas sociales</t>
  </si>
  <si>
    <t>Deudas fiscales</t>
  </si>
  <si>
    <t>Impuesto a la renta a pagar</t>
  </si>
  <si>
    <t>Ventas diferidas</t>
  </si>
  <si>
    <t>Depósitos judiciales</t>
  </si>
  <si>
    <t>Otras deudas a pagar</t>
  </si>
  <si>
    <t>Nota 11 - Patrimonio</t>
  </si>
  <si>
    <t xml:space="preserve">Capital social emitido en Gs. </t>
  </si>
  <si>
    <t>Carlos Alfredo Costa Flores</t>
  </si>
  <si>
    <t>Di Vetro S.A.</t>
  </si>
  <si>
    <t xml:space="preserve">Capital social integrado en Gs. </t>
  </si>
  <si>
    <t xml:space="preserve">Aportes por integrar en Gs. </t>
  </si>
  <si>
    <t>Control</t>
  </si>
  <si>
    <t>NOTA 12 – RESERVAS</t>
  </si>
  <si>
    <t>En guaranies</t>
  </si>
  <si>
    <t>a  Reserva de revalúo</t>
  </si>
  <si>
    <t>El saldo de la cuenta corresponde al revalúo fiscal vigente hasta el 31 de diciembre de 2019 y que fue modificada con la Ley 6.380 que establece que el revalúo de los bienes del activo fijo podrá ser obligatorio, solo cuando la variación del Indice de Precios al Consumo alcance al menos 20%p acumulado desde el ejercicio en el cual se haya dispuesto el último ajuste por revalúo.
El incremento patrimonial producido por el revalúo de los bienes de uso podrá ser capitalizado, no pudiendo ser distribuido como dividendo, utilidad o beneficio</t>
  </si>
  <si>
    <t>b Reserva legal</t>
  </si>
  <si>
    <t>De acuerdo con las disposiciones del art. 91 de la Ley N° 1.034/83 vigente en Paraguay, debe destinarse a constituir la Reserva Legal un monto no inferior al 5% del resultado positivo surgido de la sumatoria algebraica del resultado del ejercicio, los ajustes de ejercicios anteriores y las pérdidas acumuladas de ejercicios anteriores, hasta alcanzar el 20% del capital social. Vilux S.A. no ha alcanzado el valor máximo de la Reserva legal de acuerdo a lo previsto en la Ley N° 1.034/83.</t>
  </si>
  <si>
    <t>NOTA 13 –  RESULTADOS ACUMULADOS</t>
  </si>
  <si>
    <t>Resultado de ejercicios anteriores</t>
  </si>
  <si>
    <t>Resultado del ejercicio actual</t>
  </si>
  <si>
    <t>Totales</t>
  </si>
  <si>
    <t>INGRESOS OPERATIVOS</t>
  </si>
  <si>
    <t>Ventas netas</t>
  </si>
  <si>
    <t>Costos y gastos de producción</t>
  </si>
  <si>
    <t>RESULTADO BRUTO</t>
  </si>
  <si>
    <t>GASTOS DE ADMINISTRACIÓN Y VENTAS</t>
  </si>
  <si>
    <t>Gastos de operación y comercialización</t>
  </si>
  <si>
    <t>RESULTADOS FINANCIEROS</t>
  </si>
  <si>
    <t>IMPUESTO A LA RENTA</t>
  </si>
  <si>
    <t xml:space="preserve">RESULTADO NETO </t>
  </si>
  <si>
    <t xml:space="preserve">Resultado neto por acción </t>
  </si>
  <si>
    <t>Nota 14 – Ventas netas</t>
  </si>
  <si>
    <t>Ventas de vidrios</t>
  </si>
  <si>
    <t>Ventas de carpinteria de aluminio</t>
  </si>
  <si>
    <t>Ventas de perfiles</t>
  </si>
  <si>
    <t>Ventas de construcción en seco</t>
  </si>
  <si>
    <t>Ventas de herrajes</t>
  </si>
  <si>
    <t>Ventas de otras mercaderias</t>
  </si>
  <si>
    <t>Ventas obras</t>
  </si>
  <si>
    <t>Ventas servicios</t>
  </si>
  <si>
    <t>Ventas de siliconas</t>
  </si>
  <si>
    <t>Control vs. ER</t>
  </si>
  <si>
    <t>Nota 15 – Costos y gastos de producción</t>
  </si>
  <si>
    <t>Costo de ventas vidrios</t>
  </si>
  <si>
    <t>Costo de ventas perfiles</t>
  </si>
  <si>
    <t>Costo de ventas carpinteria de aluminio</t>
  </si>
  <si>
    <t>Costo de ventas herrajes</t>
  </si>
  <si>
    <t>Costo de ventas construcción en seco</t>
  </si>
  <si>
    <t>Costo de ventas otras mercaderias</t>
  </si>
  <si>
    <t>Depreciaciones</t>
  </si>
  <si>
    <t>Alquileres pagados</t>
  </si>
  <si>
    <t>Reparaciones y mantenimientos</t>
  </si>
  <si>
    <t>Costo de ventas siliconas</t>
  </si>
  <si>
    <t>Consumo electricidad</t>
  </si>
  <si>
    <t>Costo de ventas obras</t>
  </si>
  <si>
    <t>Costo de ventas servicios</t>
  </si>
  <si>
    <t>Otros costos y gastos de producción</t>
  </si>
  <si>
    <t>Nota 16 – Gastos de operación y comercialización</t>
  </si>
  <si>
    <t>Leasing de rodados</t>
  </si>
  <si>
    <t>Gastos de distribución</t>
  </si>
  <si>
    <t>Acuerdos comerciales por zona</t>
  </si>
  <si>
    <t>Publicidad y marketing</t>
  </si>
  <si>
    <t>Beneficio a clientes por carteles</t>
  </si>
  <si>
    <t>Estadías y viaticos</t>
  </si>
  <si>
    <t xml:space="preserve">Nota 17 - Gastos administrativos </t>
  </si>
  <si>
    <t>Gastos de administración</t>
  </si>
  <si>
    <t>Honorarios profesionales</t>
  </si>
  <si>
    <t>Remuneración al personal superior</t>
  </si>
  <si>
    <t>Impuestos, tasas y patentes</t>
  </si>
  <si>
    <t>Limpieza y servicios básicos</t>
  </si>
  <si>
    <t>Otros gastos</t>
  </si>
  <si>
    <t>Nota 18 - Otros ingresos  y gastos no operativos</t>
  </si>
  <si>
    <t>Resultado por venta de bienes de uso</t>
  </si>
  <si>
    <t>Cargo por deudas incobrables</t>
  </si>
  <si>
    <t>Nota 19 - Otros ingresos  y gastos financieros</t>
  </si>
  <si>
    <t>Diferencia de cambio</t>
  </si>
  <si>
    <t>Intereses perdidos</t>
  </si>
  <si>
    <t>Intereses ganados</t>
  </si>
  <si>
    <t>Gastos financieros</t>
  </si>
  <si>
    <t>Nota 20 - Impuesto a la renta</t>
  </si>
  <si>
    <t>Resultado contable antes de IR</t>
  </si>
  <si>
    <t>Más: Gastos no deducibles</t>
  </si>
  <si>
    <t>Gasto por el Impuesto a la Renta</t>
  </si>
  <si>
    <t>Renta neta imponible</t>
  </si>
  <si>
    <t>Tasa del impuesto</t>
  </si>
  <si>
    <t>Impuesto sobre utilidad</t>
  </si>
  <si>
    <t>Nota 21 - Utilidad (Pérdida) neta del año y por accion ordinaria y preferida utilidad (Pérdida)</t>
  </si>
  <si>
    <t>De acuerdo con la legislación vigente las sociedades por acciones y las de responsabilidad limitada, deben constituir una reserva legal no menor del 5% de las utilidades netas del ejercicio, hasta alcanzar el 20% del capital suscripto. El incremento patrimonial producido por el revalúo de los bienes de uso podrá ser capitalizado, no pudiendo ser distribuido como dividendo, utilidad o beneficio. De acuerdo con la Ley Nº 6380/2019, de modernización y simplificación tributaria, establece en su Art.43. Tasas. Las utilidades obtenidas y remesadas a beneficiarios radicados en el exterior se hallan sujetas a una retención del 15% en concepto de Impuesto a los Dividendos y Utilidades.</t>
  </si>
  <si>
    <t>Cantidad de Acciones Ordinarias</t>
  </si>
  <si>
    <t>Utilidad Neta</t>
  </si>
  <si>
    <t>Utilidad Neta por Acción Ordinaria</t>
  </si>
  <si>
    <t>Nota 22 - Instrumentos financieros</t>
  </si>
  <si>
    <t xml:space="preserve">  Riesgo de moneda </t>
  </si>
  <si>
    <t xml:space="preserve"> US$ </t>
  </si>
  <si>
    <t xml:space="preserve"> Gs. </t>
  </si>
  <si>
    <t>ACTIVO</t>
  </si>
  <si>
    <t>Activo corriente</t>
  </si>
  <si>
    <r>
      <t xml:space="preserve">Disponibilidades </t>
    </r>
    <r>
      <rPr>
        <sz val="10"/>
        <color rgb="FFFFFFFF"/>
        <rFont val="Times New Roman"/>
        <family val="1"/>
      </rPr>
      <t>USD</t>
    </r>
  </si>
  <si>
    <r>
      <t xml:space="preserve">Créditos por ventas </t>
    </r>
    <r>
      <rPr>
        <sz val="10"/>
        <color rgb="FFFFFFFF"/>
        <rFont val="Times New Roman"/>
        <family val="1"/>
      </rPr>
      <t>USD</t>
    </r>
  </si>
  <si>
    <r>
      <t xml:space="preserve">Inversiones financieras </t>
    </r>
    <r>
      <rPr>
        <sz val="10"/>
        <color rgb="FFFFFFFF"/>
        <rFont val="Times New Roman"/>
        <family val="1"/>
      </rPr>
      <t>USD</t>
    </r>
  </si>
  <si>
    <r>
      <t xml:space="preserve">Otros créditos </t>
    </r>
    <r>
      <rPr>
        <sz val="10"/>
        <color rgb="FFFFFFFF"/>
        <rFont val="Times New Roman"/>
        <family val="1"/>
      </rPr>
      <t>USD</t>
    </r>
  </si>
  <si>
    <t>Total activo corriente</t>
  </si>
  <si>
    <t>Activo No corriente</t>
  </si>
  <si>
    <r>
      <t xml:space="preserve">Créditos por ventas </t>
    </r>
    <r>
      <rPr>
        <sz val="10"/>
        <color rgb="FFFFFFFF"/>
        <rFont val="Times New Roman"/>
        <family val="1"/>
      </rPr>
      <t>NC USD</t>
    </r>
  </si>
  <si>
    <t>Total activo No corriente</t>
  </si>
  <si>
    <t>Total activo</t>
  </si>
  <si>
    <t>PASIVO</t>
  </si>
  <si>
    <t>Pasivo corriente</t>
  </si>
  <si>
    <r>
      <t xml:space="preserve">Deudas comerciales </t>
    </r>
    <r>
      <rPr>
        <sz val="10"/>
        <color rgb="FFFFFFFF"/>
        <rFont val="Times New Roman"/>
        <family val="1"/>
      </rPr>
      <t>USD</t>
    </r>
  </si>
  <si>
    <t>Total pasivo</t>
  </si>
  <si>
    <t xml:space="preserve">Posición Neta </t>
  </si>
  <si>
    <t>R$</t>
  </si>
  <si>
    <r>
      <t>Disponibilidades</t>
    </r>
    <r>
      <rPr>
        <sz val="10"/>
        <color rgb="FFFFFFFF"/>
        <rFont val="Times New Roman"/>
        <family val="1"/>
      </rPr>
      <t xml:space="preserve"> Reales</t>
    </r>
  </si>
  <si>
    <t>€</t>
  </si>
  <si>
    <r>
      <t xml:space="preserve">Disponibilidades </t>
    </r>
    <r>
      <rPr>
        <sz val="10"/>
        <color rgb="FFFFFFFF"/>
        <rFont val="Times New Roman"/>
        <family val="1"/>
      </rPr>
      <t>Euros</t>
    </r>
  </si>
  <si>
    <t>PASIVO CORRIENTE</t>
  </si>
  <si>
    <t>Total Pasivo</t>
  </si>
  <si>
    <t>Transacciones con partes relacionadas</t>
  </si>
  <si>
    <t>Compras de inventario</t>
  </si>
  <si>
    <t>Gastos operativos</t>
  </si>
  <si>
    <r>
      <rPr>
        <b/>
        <sz val="10"/>
        <color rgb="FF000000"/>
        <rFont val="Times New Roman"/>
        <family val="1"/>
      </rPr>
      <t xml:space="preserve">Compensaciones al personal clave: </t>
    </r>
    <r>
      <rPr>
        <sz val="10"/>
        <color rgb="FF000000"/>
        <rFont val="Times New Roman"/>
        <family val="1"/>
      </rPr>
      <t xml:space="preserve">
La Sociedad ha definido para estos efectos considerar personal clave a los ejecutivos que definen las políticas y lineamientos macro para la Sociedad y que afectan directamente los resultados del negocio, considerando a los niveles de Presidente y Directores. 
La compensación pagada o por pagar al personal directivo clave es la siguiente:</t>
    </r>
  </si>
  <si>
    <t>Compensación al personal clave</t>
  </si>
  <si>
    <t>Aportes para aumento de capital</t>
  </si>
  <si>
    <t>Reserva de Revalúo</t>
  </si>
  <si>
    <t>Revalúo Técnico</t>
  </si>
  <si>
    <t>Reserva Legal</t>
  </si>
  <si>
    <t xml:space="preserve"> Total</t>
  </si>
  <si>
    <t>Aportes de accionistas</t>
  </si>
  <si>
    <t>Revalúo de bienes de uso</t>
  </si>
  <si>
    <t>Resultados acumulados (**)</t>
  </si>
  <si>
    <t>Saldo al 31 de diciembre de 2021</t>
  </si>
  <si>
    <t>(*) Los aportes de los accionistas para futura capitalización, fueron aprobados según las Actas de Directorio Nro. 271 de fecha 01/12/2020, por valor de USD 600.000, y la Nro. 273 del 28/12/2020, por valor de USD 500.000.</t>
  </si>
  <si>
    <t>Fecha de contabilización</t>
  </si>
  <si>
    <t>30/12/2021</t>
  </si>
  <si>
    <t>1.</t>
  </si>
  <si>
    <t>ACTIVIDADES DE OPERACIÓN</t>
  </si>
  <si>
    <t>Cobranzas efectuadas a clientes</t>
  </si>
  <si>
    <t>Pagos efectuados a proveedores y empleados</t>
  </si>
  <si>
    <t>Caja generada por las operaciones</t>
  </si>
  <si>
    <t>Flujos netos de efectivo por actividades de operación</t>
  </si>
  <si>
    <t>2.</t>
  </si>
  <si>
    <t>ACTIVIDADES DE INVERSIÓN</t>
  </si>
  <si>
    <t>Adquisiciones de bienes de uso e intangibles</t>
  </si>
  <si>
    <t>Cobros por venta de bienes de uso</t>
  </si>
  <si>
    <t>Intereses cobrados en inversiones financieras</t>
  </si>
  <si>
    <t>Flujos netos de efectivo por actividades de inversión</t>
  </si>
  <si>
    <t>3.</t>
  </si>
  <si>
    <t>ACTIVIDADES DE FINANCIACIÓN</t>
  </si>
  <si>
    <t>Efectivo (utilizado en) / proveniente de préstamos financieros</t>
  </si>
  <si>
    <t>Flujos netos de efectivo por actividades de financiación</t>
  </si>
  <si>
    <t>Efecto de las variaciones en tipo de cambio sobre Caja</t>
  </si>
  <si>
    <t>4.</t>
  </si>
  <si>
    <t>Incremento neto de efectivo y equivalentes</t>
  </si>
  <si>
    <t>5.</t>
  </si>
  <si>
    <t>Efectivo y equivalentes al inicio</t>
  </si>
  <si>
    <t>6.</t>
  </si>
  <si>
    <t>Efectivo y equivalentes al final</t>
  </si>
  <si>
    <t>CONTROL</t>
  </si>
  <si>
    <t>Las diferencias de cambio originadas por fluctuaciones en los tipos de cambio producidos entre las fechas de concertación de las operaciones y su liquidación o valuación al cierre del ejercicio, son reconocidas en resultados.</t>
  </si>
  <si>
    <t>Para la preparación del estado de flujos de efectivo se consideraron dentro del concepto de efectivo los saldos en efectivo, disponibilidades en cuentas bancarias y las inversiones en Fondos Mutuos dada su alta liquidez, que son fácilmente convertibles en efectivo y están sujetos a un riesgo insignificante de cambios en su valor.</t>
  </si>
  <si>
    <t>Nota 23 - Saldos y transacciones con partes relacionadas</t>
  </si>
  <si>
    <t>Saldos y transacciones con partes relacionadas</t>
  </si>
  <si>
    <t>Nota 23</t>
  </si>
  <si>
    <t>Nota 22</t>
  </si>
  <si>
    <t>Instrumentos financieros</t>
  </si>
  <si>
    <t>2022</t>
  </si>
  <si>
    <t>Dic-2022</t>
  </si>
  <si>
    <t>Intereses pagados</t>
  </si>
  <si>
    <t>Aplicación de previsiones</t>
  </si>
  <si>
    <t>Anticipo y retenciones de impuesto a la renta</t>
  </si>
  <si>
    <t>Anticipos para despacho de importación</t>
  </si>
  <si>
    <t>Compañias vinculadas (Nota 15)</t>
  </si>
  <si>
    <t>Importaciones en curso</t>
  </si>
  <si>
    <t>Nota 7.1- Bienes de uso e intagibles</t>
  </si>
  <si>
    <t>Aeronaves</t>
  </si>
  <si>
    <t>Licencias Informáticas</t>
  </si>
  <si>
    <t>Nota 7.2  Movimiento de bienes de uso e intagibles</t>
  </si>
  <si>
    <t>Valor Neto del ejercicio 2021</t>
  </si>
  <si>
    <t>Altas</t>
  </si>
  <si>
    <t>Depreciación</t>
  </si>
  <si>
    <t>Valor Neto del ejercicio 2022</t>
  </si>
  <si>
    <t>Intereses bancarios a pagar CP</t>
  </si>
  <si>
    <t>Intereses bursatiles a devengar CP</t>
  </si>
  <si>
    <t>Intereses bancarios a devengar CP</t>
  </si>
  <si>
    <t>Bonos emitidos Gs.</t>
  </si>
  <si>
    <t>Bonos emitidos USD</t>
  </si>
  <si>
    <t>Banco Itaú capital Gs. CP</t>
  </si>
  <si>
    <t>Banco Itaú capital Gs.Largo Plazo</t>
  </si>
  <si>
    <t>Banco Itaú capital USD.Largo Plazo</t>
  </si>
  <si>
    <t>Intereses bursatiles a pagar LP</t>
  </si>
  <si>
    <t>Intereses bancarios a pagar - NC</t>
  </si>
  <si>
    <t>Intereses bursatiles a devengar - NC</t>
  </si>
  <si>
    <t>Intereses bancarios a devengar - NC</t>
  </si>
  <si>
    <t>Ventas de scrap</t>
  </si>
  <si>
    <t>Costo de ventas scrap</t>
  </si>
  <si>
    <t>RESULTADOS DIVERSOS</t>
  </si>
  <si>
    <t>Deudas financieras USD</t>
  </si>
  <si>
    <t>Pasivo No corriente</t>
  </si>
  <si>
    <r>
      <t xml:space="preserve">Deudas financieras </t>
    </r>
    <r>
      <rPr>
        <sz val="10"/>
        <color theme="0"/>
        <rFont val="Times New Roman"/>
        <family val="1"/>
      </rPr>
      <t>USD - NC</t>
    </r>
  </si>
  <si>
    <t>Total pasivo No corriente</t>
  </si>
  <si>
    <t xml:space="preserve">Total pasivo </t>
  </si>
  <si>
    <t>ACTIVO CORRIENTE</t>
  </si>
  <si>
    <t>Bienes de cambio (Nota 6)</t>
  </si>
  <si>
    <t>Glassber S.A.</t>
  </si>
  <si>
    <t>Deudas comerciales (Nota 8)</t>
  </si>
  <si>
    <t>Saldo al 31 de diciembre de 2022</t>
  </si>
  <si>
    <t>Cargo deudas incobrables</t>
  </si>
  <si>
    <r>
      <rPr>
        <b/>
        <i/>
        <sz val="10"/>
        <rFont val="Times New Roman"/>
        <family val="1"/>
      </rPr>
      <t xml:space="preserve">E-MAIL </t>
    </r>
    <r>
      <rPr>
        <i/>
        <sz val="10"/>
        <rFont val="Times New Roman"/>
        <family val="1"/>
      </rPr>
      <t xml:space="preserve">: VILUX@VILUX.COM.PY         </t>
    </r>
    <r>
      <rPr>
        <b/>
        <i/>
        <sz val="10"/>
        <rFont val="Times New Roman"/>
        <family val="1"/>
      </rPr>
      <t>SITIO WEB</t>
    </r>
    <r>
      <rPr>
        <i/>
        <sz val="10"/>
        <rFont val="Times New Roman"/>
        <family val="1"/>
      </rPr>
      <t>: WWW.VILUX.COM.PY</t>
    </r>
  </si>
  <si>
    <t xml:space="preserve"> Dic-2022 </t>
  </si>
  <si>
    <t>Bancos reales</t>
  </si>
  <si>
    <t>-</t>
  </si>
  <si>
    <t>Anticipos a partes relacionadas por vidrios (Nota 15)</t>
  </si>
  <si>
    <t xml:space="preserve">                        - </t>
  </si>
  <si>
    <t>Previsión para juicios laborales</t>
  </si>
  <si>
    <t>Las notas 1 a 21 que se acompañan forman parte integral de los estados financieros.</t>
  </si>
  <si>
    <t>Clasificacion general</t>
  </si>
  <si>
    <t>Clasificacion</t>
  </si>
  <si>
    <t>Cuenta de mayor</t>
  </si>
  <si>
    <t>Nombre</t>
  </si>
  <si>
    <t>Validacion</t>
  </si>
  <si>
    <t>Total efectivo y sus equivalentes</t>
  </si>
  <si>
    <t>1.01.01.01.001</t>
  </si>
  <si>
    <t>Caja Central Guaranies</t>
  </si>
  <si>
    <t>1.01.01.01.002</t>
  </si>
  <si>
    <t>Caja Central Dólares Fdo</t>
  </si>
  <si>
    <t>1.01.01.01.007</t>
  </si>
  <si>
    <t>Caja Central Dólares Pjc</t>
  </si>
  <si>
    <t>1.01.01.01.004</t>
  </si>
  <si>
    <t>Caja Central Reales Fdo</t>
  </si>
  <si>
    <t>1.01.01.01.006</t>
  </si>
  <si>
    <t>Caja Central Reales Pjc</t>
  </si>
  <si>
    <t>1.01.01.01.005</t>
  </si>
  <si>
    <t>Caja Central Euros</t>
  </si>
  <si>
    <t>1.01.01.02.001</t>
  </si>
  <si>
    <t>Recaudaciones a depositar Gs</t>
  </si>
  <si>
    <t>1.01.01.02.002</t>
  </si>
  <si>
    <t>Recaudaciones a depositar Usd.</t>
  </si>
  <si>
    <t>1.01.01.03.001</t>
  </si>
  <si>
    <t>Fondo Fijo Insumos FDO</t>
  </si>
  <si>
    <t>1.01.01.03.002</t>
  </si>
  <si>
    <t>Fondo Fijo Logistica FDO</t>
  </si>
  <si>
    <t>1.01.01.03.003</t>
  </si>
  <si>
    <t>Fondo Fijo Finanzas ENC</t>
  </si>
  <si>
    <t>1.01.01.03.004</t>
  </si>
  <si>
    <t>Fondo Fijo Finanzas FDO</t>
  </si>
  <si>
    <t>1.01.01.03.005</t>
  </si>
  <si>
    <t>Fondo Fijo Logistica MG</t>
  </si>
  <si>
    <t>1.01.01.03.007</t>
  </si>
  <si>
    <t>Fondo Fijo Logistica ENC</t>
  </si>
  <si>
    <t>1.01.01.03.008</t>
  </si>
  <si>
    <t>Fondo Fijo Planta Central y Villeta FDO</t>
  </si>
  <si>
    <t>1.01.01.03.009</t>
  </si>
  <si>
    <t>Fondo Fijo Logistica PJC</t>
  </si>
  <si>
    <t>1.01.01.03.010</t>
  </si>
  <si>
    <t>Fondo Fijo Admin PJC</t>
  </si>
  <si>
    <t>1.01.01.03.012</t>
  </si>
  <si>
    <t>Fondo Fijo Admin MG</t>
  </si>
  <si>
    <t>1.01.01.03.013</t>
  </si>
  <si>
    <t>Fondo Fijo Taller y Obras FDO</t>
  </si>
  <si>
    <t>1.01.01.05.001</t>
  </si>
  <si>
    <t>Banco Itau Cta.Cte. 300033791 GS</t>
  </si>
  <si>
    <t>1.01.01.05.004</t>
  </si>
  <si>
    <t>Banco Itau Cta. Cte. 2426/5 Guaranies</t>
  </si>
  <si>
    <t>1.01.01.05.002</t>
  </si>
  <si>
    <t>Banco Continental Cta.Cte. 836100 Guaranies</t>
  </si>
  <si>
    <t>1.01.01.05.003</t>
  </si>
  <si>
    <t>Banco Itau Cta.Cte. 600001139 GS</t>
  </si>
  <si>
    <t>1.01.01.05.006</t>
  </si>
  <si>
    <t>Banco Citibank Cta.Cte. 0197682019 Guaranies</t>
  </si>
  <si>
    <t>1.01.01.05.007</t>
  </si>
  <si>
    <t>Banco Do Brasil Cta.Cte. 327948 Guaranies</t>
  </si>
  <si>
    <t>1.01.01.05.009</t>
  </si>
  <si>
    <t>Banco Basa GS-Capital Fondos Mutuos</t>
  </si>
  <si>
    <t>1.01.01.06.002</t>
  </si>
  <si>
    <t>Banco Itau Cta.Cte 350100717 Usd.</t>
  </si>
  <si>
    <t>1.01.01.06.004</t>
  </si>
  <si>
    <t>Banco Basa USD-Capital Fondos Mutuos</t>
  </si>
  <si>
    <t>1.01.01.06.005</t>
  </si>
  <si>
    <t>Banco Regional Casa de Bolsa S.A. Usd</t>
  </si>
  <si>
    <t>1.01.01.07.001</t>
  </si>
  <si>
    <t>Banco Continental Caja de Ahorro 34-30-003300-05 Reales</t>
  </si>
  <si>
    <t>1.01.01.08.001</t>
  </si>
  <si>
    <t>Banco Citibank Caja de Ahorro 5197682029 Usd.</t>
  </si>
  <si>
    <t>1.01.01.08.002</t>
  </si>
  <si>
    <t>Banco Continental Caja de Ahorro 34 -27-240683-05 Usd.</t>
  </si>
  <si>
    <t>1.01.01.08.003</t>
  </si>
  <si>
    <t>Banco Visión Caja de Ahorro 18325910 Guaraníes</t>
  </si>
  <si>
    <t>1.01.01.09.001</t>
  </si>
  <si>
    <t>Cuenta control caja y bancos</t>
  </si>
  <si>
    <t>1.01.01.09.003</t>
  </si>
  <si>
    <t>Canje cliente- proveedores</t>
  </si>
  <si>
    <t>1.01.01.09.007</t>
  </si>
  <si>
    <t>Cuenta control NCAM</t>
  </si>
  <si>
    <t>CUENTAS POR COBRAR COMERCIALES</t>
  </si>
  <si>
    <t>1.01.02.01.001</t>
  </si>
  <si>
    <t>Creditos clientes</t>
  </si>
  <si>
    <t>OTROS CRÉDITOS</t>
  </si>
  <si>
    <t>Creditos en gestion de cobro</t>
  </si>
  <si>
    <t>1.01.02.01.003</t>
  </si>
  <si>
    <t>1.01.02.02.001</t>
  </si>
  <si>
    <t>Cheques diferidos Guaranies</t>
  </si>
  <si>
    <t>1.01.02.02.002</t>
  </si>
  <si>
    <t>Cheques diferidos Usd.</t>
  </si>
  <si>
    <t>1.01.02.02.003</t>
  </si>
  <si>
    <t>Cheques diferidos en custodia Guaranies</t>
  </si>
  <si>
    <t>1.01.02.03.001</t>
  </si>
  <si>
    <t>Cheques rechazados Guaranies</t>
  </si>
  <si>
    <t>1.01.02.03.002</t>
  </si>
  <si>
    <t>Cheques rechazados Usd.</t>
  </si>
  <si>
    <t>Cheques en gestion judicial Guaranies</t>
  </si>
  <si>
    <t>1.01.02.03.003</t>
  </si>
  <si>
    <t>1.01.02.04.003</t>
  </si>
  <si>
    <t>Cheques canjeado Guaranies</t>
  </si>
  <si>
    <t>1.01.02.05.001</t>
  </si>
  <si>
    <t>Tarjetas al Cobro</t>
  </si>
  <si>
    <t>1.01.02.06.001</t>
  </si>
  <si>
    <t>1.01.03.01.001</t>
  </si>
  <si>
    <t>IVA credito fiscal 10%</t>
  </si>
  <si>
    <t>1.01.03.01.003</t>
  </si>
  <si>
    <t>Retenciones IVA recibidas</t>
  </si>
  <si>
    <t>1.01.03.01.004</t>
  </si>
  <si>
    <t>IVA credito fiscal</t>
  </si>
  <si>
    <t>1.01.03.02.001</t>
  </si>
  <si>
    <t>Retenciones y percepciones computables renta</t>
  </si>
  <si>
    <t>1.01.03.02.002</t>
  </si>
  <si>
    <t>Anticipos impuesto a la renta</t>
  </si>
  <si>
    <t>1.01.03.02.003</t>
  </si>
  <si>
    <t>Retencion IRE aduana</t>
  </si>
  <si>
    <t>1.01.04.01.001</t>
  </si>
  <si>
    <t>Anticipo viaticos a rendir</t>
  </si>
  <si>
    <t>1.01.04.01.002</t>
  </si>
  <si>
    <t>1.01.04.02.003</t>
  </si>
  <si>
    <t>Anticipos a proveedores exterior</t>
  </si>
  <si>
    <t>1.01.04.02.004</t>
  </si>
  <si>
    <t>Anticipos a proveedores locales</t>
  </si>
  <si>
    <t>INVENTARIOS</t>
  </si>
  <si>
    <t>1.01.04.03.008</t>
  </si>
  <si>
    <t>Anticipos Di Vetro S.A.</t>
  </si>
  <si>
    <t>1.01.04.03.005</t>
  </si>
  <si>
    <t>Anticipos Glassber S.A. - Migracion</t>
  </si>
  <si>
    <t>1.01.04.04.001</t>
  </si>
  <si>
    <t>Anticipos para despachos de importacion</t>
  </si>
  <si>
    <t>1.01.04.05.001</t>
  </si>
  <si>
    <t>Anticipos de sueldos</t>
  </si>
  <si>
    <t>1.01.04.05.002</t>
  </si>
  <si>
    <t>Cuentas por cobrar personal comedor</t>
  </si>
  <si>
    <t>1.01.04.05.003</t>
  </si>
  <si>
    <t>Cuentas por cobrar personal uniformes</t>
  </si>
  <si>
    <t>1.01.04.05.004</t>
  </si>
  <si>
    <t>Cuentas por cobrar seguro medico</t>
  </si>
  <si>
    <t>1.01.04.05.005</t>
  </si>
  <si>
    <t>Cuentas por cobrar reparacion celulares</t>
  </si>
  <si>
    <t>1.01.04.05.007</t>
  </si>
  <si>
    <t>Cuentas por cobrar personal cooperativa</t>
  </si>
  <si>
    <t>1.01.04.05.008</t>
  </si>
  <si>
    <t>Cuentas por cobrar personal farmacia</t>
  </si>
  <si>
    <t>1.01.04.05.009</t>
  </si>
  <si>
    <t>Deposito judicial RRHH</t>
  </si>
  <si>
    <t>1.01.04.05.010</t>
  </si>
  <si>
    <t>Anticipos de aguinaldos</t>
  </si>
  <si>
    <t>1.01.04.05.011</t>
  </si>
  <si>
    <t>Otros descuentos</t>
  </si>
  <si>
    <t>1.01.04.07.001</t>
  </si>
  <si>
    <t>Siniestros a cobrar mercaderias</t>
  </si>
  <si>
    <t>1.01.04.07.004</t>
  </si>
  <si>
    <t>Debitos por embargo judicial a recuperar</t>
  </si>
  <si>
    <t>1.01.04.07.005</t>
  </si>
  <si>
    <t>Descuentos por compras VASA</t>
  </si>
  <si>
    <t>1.01.04.07.006</t>
  </si>
  <si>
    <t>Siniestros a recuperar</t>
  </si>
  <si>
    <t>1.01.04.08.001</t>
  </si>
  <si>
    <t>Otras cuentas por cobrar</t>
  </si>
  <si>
    <t>1.01.04.09.001</t>
  </si>
  <si>
    <t>Garantias de alquiler</t>
  </si>
  <si>
    <t>1.01.04.09.002</t>
  </si>
  <si>
    <t>Otras garantias</t>
  </si>
  <si>
    <t>Gastos a devengar</t>
  </si>
  <si>
    <t>1.01.04.09.003</t>
  </si>
  <si>
    <t>Alquileres pagados por adelantado</t>
  </si>
  <si>
    <t>Deudores varios</t>
  </si>
  <si>
    <t>1.01.04.10.002</t>
  </si>
  <si>
    <t>1.01.05.01.001</t>
  </si>
  <si>
    <t>1.01.05.01.003</t>
  </si>
  <si>
    <t>Otras cuentas a Devengar</t>
  </si>
  <si>
    <t>1.01.05.01.002</t>
  </si>
  <si>
    <t>Seguros a devengar</t>
  </si>
  <si>
    <t>PRESTAMOS A CORTO Y LARGO PLAZO</t>
  </si>
  <si>
    <t>1.01.05.01.004</t>
  </si>
  <si>
    <t>Intereses a devengar CP</t>
  </si>
  <si>
    <t>1.01.06.01.001</t>
  </si>
  <si>
    <t>Mercaderias vidrios crudos</t>
  </si>
  <si>
    <t>1.01.06.01.002</t>
  </si>
  <si>
    <t>Mercaderias perfiles</t>
  </si>
  <si>
    <t>1.01.06.01.003</t>
  </si>
  <si>
    <t>Mercaderias herrajes</t>
  </si>
  <si>
    <t>1.01.06.01.004</t>
  </si>
  <si>
    <t>Mercaderias construccion en seco</t>
  </si>
  <si>
    <t>1.01.06.01.005</t>
  </si>
  <si>
    <t>Mercaderias carpinteria de aluminio</t>
  </si>
  <si>
    <t>1.01.06.01.006</t>
  </si>
  <si>
    <t>Mercaderias siliconas</t>
  </si>
  <si>
    <t>1.01.06.01.010</t>
  </si>
  <si>
    <t>Mercaderias productos estandar</t>
  </si>
  <si>
    <t>1.01.06.01.011</t>
  </si>
  <si>
    <t>Mercaderias locales</t>
  </si>
  <si>
    <t>1.01.06.01.012</t>
  </si>
  <si>
    <t>Mercaderias importadas</t>
  </si>
  <si>
    <t>1.01.06.01.014</t>
  </si>
  <si>
    <t>Mercaderias obras</t>
  </si>
  <si>
    <t>1.01.06.01.015</t>
  </si>
  <si>
    <t>Insumos MKT</t>
  </si>
  <si>
    <t>1.01.06.01.016</t>
  </si>
  <si>
    <t>Insumos en deposito</t>
  </si>
  <si>
    <t>1.01.06.01.018</t>
  </si>
  <si>
    <t>TCA Movimientos Stock</t>
  </si>
  <si>
    <t>1.01.06.01.019</t>
  </si>
  <si>
    <t>Movimientos Stock Laminados</t>
  </si>
  <si>
    <t>1.01.06.01.020</t>
  </si>
  <si>
    <t>Transferencia entre codigos</t>
  </si>
  <si>
    <t>1.01.06.01.021</t>
  </si>
  <si>
    <t>Movimiento Scrap Perfiles</t>
  </si>
  <si>
    <t>1.01.06.01.022</t>
  </si>
  <si>
    <t>Mercaderias recuperadas</t>
  </si>
  <si>
    <t>1.01.06.02.001</t>
  </si>
  <si>
    <t>Servicios de anodizado</t>
  </si>
  <si>
    <t>1.01.06.02.002</t>
  </si>
  <si>
    <t>Servicios de decapado</t>
  </si>
  <si>
    <t>1.01.06.02.003</t>
  </si>
  <si>
    <t>Servicios de pintura</t>
  </si>
  <si>
    <t>1.01.06.02.005</t>
  </si>
  <si>
    <t>Servicios de pulido</t>
  </si>
  <si>
    <t>1.01.06.02.006</t>
  </si>
  <si>
    <t>Servicios procesados</t>
  </si>
  <si>
    <t>1.01.06.02.007</t>
  </si>
  <si>
    <t>Servicios tercerizados - Grandes Obras</t>
  </si>
  <si>
    <t>1.01.06.03.001</t>
  </si>
  <si>
    <t>Sobrantes de mercaderias</t>
  </si>
  <si>
    <t>1.01.06.03.003</t>
  </si>
  <si>
    <t>Saldos VILUX</t>
  </si>
  <si>
    <t>1.01.06.03.004</t>
  </si>
  <si>
    <t>Retazos vidrios crudos</t>
  </si>
  <si>
    <t>1.01.06.03.005</t>
  </si>
  <si>
    <t>Otros bienes de cambio</t>
  </si>
  <si>
    <t>1.01.06.03.006</t>
  </si>
  <si>
    <t>Descabezados</t>
  </si>
  <si>
    <t>1.01.06.04.001</t>
  </si>
  <si>
    <t>Importaciones en curso bienes de cambio</t>
  </si>
  <si>
    <t>1.01.06.05.001</t>
  </si>
  <si>
    <t>Productos en proceso</t>
  </si>
  <si>
    <t>1.01.06.06.001</t>
  </si>
  <si>
    <t>Vidrios procesados</t>
  </si>
  <si>
    <t>1.01.06.98.002</t>
  </si>
  <si>
    <t>Transferencias sucursales</t>
  </si>
  <si>
    <t>1.01.06.98.003</t>
  </si>
  <si>
    <t>Mercaderias a ingresar</t>
  </si>
  <si>
    <t>1.01.06.98.004</t>
  </si>
  <si>
    <t>Trasnferencia entre mismo codigo</t>
  </si>
  <si>
    <t>1.01.06.98.005</t>
  </si>
  <si>
    <t>Transferecia mercaderias sobrantes</t>
  </si>
  <si>
    <t>Activo fijo</t>
  </si>
  <si>
    <t>1.02.03.01.001</t>
  </si>
  <si>
    <t>1.02.03.01.002</t>
  </si>
  <si>
    <t>Edificios Propios</t>
  </si>
  <si>
    <t>1.02.03.01.003</t>
  </si>
  <si>
    <t>(-) Deprec. Acumuladas-Edificios</t>
  </si>
  <si>
    <t>1.02.03.02.001</t>
  </si>
  <si>
    <t>1.02.03.02.003</t>
  </si>
  <si>
    <t>1.02.03.02.002</t>
  </si>
  <si>
    <t>(-) Deprec. Acumuladas-Rodados</t>
  </si>
  <si>
    <t>1.02.03.03.001</t>
  </si>
  <si>
    <t>Maquinarias y Equipos</t>
  </si>
  <si>
    <t>1.02.03.03.002</t>
  </si>
  <si>
    <t>(-) Deprec. Acumuladas- Maquinarias y Equipos</t>
  </si>
  <si>
    <t>1.02.03.03.003</t>
  </si>
  <si>
    <t>1.02.03.03.004</t>
  </si>
  <si>
    <t>(-) Deprec. Acumuladas-Herramientas y equipos</t>
  </si>
  <si>
    <t>1.02.03.04.001</t>
  </si>
  <si>
    <t>Instalaciones Varias</t>
  </si>
  <si>
    <t>1.02.03.04.002</t>
  </si>
  <si>
    <t>(-) Deprec. Acumuladas-Instalaciones Varias</t>
  </si>
  <si>
    <t>1.02.03.04.003</t>
  </si>
  <si>
    <t>Mejoras en propiedades de terceros</t>
  </si>
  <si>
    <t>1.02.03.04.004</t>
  </si>
  <si>
    <t>(-) Deprec. Acumuladas-Mejoras en propiedades de terceros</t>
  </si>
  <si>
    <t>1.02.03.05.001</t>
  </si>
  <si>
    <t>Muebles y utiles</t>
  </si>
  <si>
    <t>1.02.03.05.002</t>
  </si>
  <si>
    <t>(-) Deprec. Acumuladas-Muebles y Utiles</t>
  </si>
  <si>
    <t>1.02.03.06.001</t>
  </si>
  <si>
    <t>Equipos de Informatica</t>
  </si>
  <si>
    <t>1.02.03.06.002</t>
  </si>
  <si>
    <t>(-) Deprec. Acumuladas-Equipos de Informatica</t>
  </si>
  <si>
    <t>1.02.03.07.001</t>
  </si>
  <si>
    <t>Leasing Equipos Informaticos</t>
  </si>
  <si>
    <t>1.02.04.03.001</t>
  </si>
  <si>
    <t>Desarrollo Software</t>
  </si>
  <si>
    <t>1.02.04.04.001</t>
  </si>
  <si>
    <t>Licencia de Informatica</t>
  </si>
  <si>
    <t>1.02.04.04.002</t>
  </si>
  <si>
    <t>(-) Amortizacion Acumulada- Licencia de Informatica</t>
  </si>
  <si>
    <t>1.02.05.01.002</t>
  </si>
  <si>
    <t>Obras en curso dpto. Corar piso 12</t>
  </si>
  <si>
    <t>1.02.05.01.003</t>
  </si>
  <si>
    <t>Obras en curso Pedro Juan Caballero</t>
  </si>
  <si>
    <t>1.02.05.01.004</t>
  </si>
  <si>
    <t>Remodelaciones</t>
  </si>
  <si>
    <t>1.02.05.02.001</t>
  </si>
  <si>
    <t>Obras en curso maquinarias y equipos</t>
  </si>
  <si>
    <t>1.02.05.02.002</t>
  </si>
  <si>
    <t>Maquinarias a instalar</t>
  </si>
  <si>
    <t>1.02.05.03.001</t>
  </si>
  <si>
    <t>Obras en curso desarrollo software SAP</t>
  </si>
  <si>
    <t>1.02.05.03.002</t>
  </si>
  <si>
    <t>Desarrollo software REIGLASS</t>
  </si>
  <si>
    <t>1.02.05.05.001</t>
  </si>
  <si>
    <t>Obras en curso Chaco</t>
  </si>
  <si>
    <t>1.02.05.05.002</t>
  </si>
  <si>
    <t>Terrenos chaco en gestion</t>
  </si>
  <si>
    <t>1.02.06.01.003</t>
  </si>
  <si>
    <t>Intereses a Devengar LP</t>
  </si>
  <si>
    <t>CUENTAS POR PAGAR COMERCIALES</t>
  </si>
  <si>
    <t>2.01.01.01.001</t>
  </si>
  <si>
    <t>2.01.01.02.001</t>
  </si>
  <si>
    <t>Proveedores del Exterior</t>
  </si>
  <si>
    <t>2.01.01.03.001</t>
  </si>
  <si>
    <t>OTROS PASIVOS CORRIENTES y NO CORRIENTES</t>
  </si>
  <si>
    <t>2.01.01.04.001</t>
  </si>
  <si>
    <t>Fondo fijo a reponer Insumos/ Abastecimiento</t>
  </si>
  <si>
    <t>2.01.01.04.002</t>
  </si>
  <si>
    <t>Fondo fijo a reponer planta central y Villeta</t>
  </si>
  <si>
    <t>2.01.01.04.003</t>
  </si>
  <si>
    <t>Fondo fijo a reponer Logistica Fdo</t>
  </si>
  <si>
    <t>2.01.01.04.004</t>
  </si>
  <si>
    <t>Fondo fijo a reponer Administracion</t>
  </si>
  <si>
    <t>2.01.01.04.005</t>
  </si>
  <si>
    <t>Fondo fijo a reponer Taller y Obra Fdo</t>
  </si>
  <si>
    <t>2.01.01.04.006</t>
  </si>
  <si>
    <t>Fondo fijo a reponer Logistica Minga</t>
  </si>
  <si>
    <t>2.01.01.04.007</t>
  </si>
  <si>
    <t>Fondo fijo a reponer Administracion Minga</t>
  </si>
  <si>
    <t>2.01.01.04.008</t>
  </si>
  <si>
    <t>Fondo fijo a reponer Logistica Enc</t>
  </si>
  <si>
    <t>2.01.01.04.009</t>
  </si>
  <si>
    <t>Fondo fijo a reponer Administracion Enc</t>
  </si>
  <si>
    <t>2.01.01.04.010</t>
  </si>
  <si>
    <t>Fondo fijo a reponer Logistica PJC</t>
  </si>
  <si>
    <t>2.01.01.04.011</t>
  </si>
  <si>
    <t>Fondo fijo a reponer Administracion PJC</t>
  </si>
  <si>
    <t>PROVISIONES</t>
  </si>
  <si>
    <t>Provision facturas a recibir</t>
  </si>
  <si>
    <t>2.01.01.05.001</t>
  </si>
  <si>
    <t>Provisiones comerciales GS</t>
  </si>
  <si>
    <t>2.01.01.05.002</t>
  </si>
  <si>
    <t>Provisiones comerciales ME</t>
  </si>
  <si>
    <t>2.01.01.05.003</t>
  </si>
  <si>
    <t>2.01.01.06.001</t>
  </si>
  <si>
    <t>Alukler S.A.</t>
  </si>
  <si>
    <t>2.01.01.06.003</t>
  </si>
  <si>
    <t>Transportadora Carlos Costa S.A.</t>
  </si>
  <si>
    <t>2.01.01.06.004</t>
  </si>
  <si>
    <t>2.01.01.06.005</t>
  </si>
  <si>
    <t>2.01.01.07.002</t>
  </si>
  <si>
    <t>Cheques en Cartera Usd.</t>
  </si>
  <si>
    <t>2.01.02.01.001</t>
  </si>
  <si>
    <t>Prestamos Bancarios Banco Itau Guaranies</t>
  </si>
  <si>
    <t>2.01.02.02.002</t>
  </si>
  <si>
    <t>Intereses a pagar Banco Itau Guaranies CP</t>
  </si>
  <si>
    <t>2.01.02.02.001</t>
  </si>
  <si>
    <t>Intereses a pagar Banco Itau USD CP</t>
  </si>
  <si>
    <t>REMUNERACIONES Y CARGAS SOCIALES A PAGAR</t>
  </si>
  <si>
    <t>2.01.03.01.001</t>
  </si>
  <si>
    <t>Sueldos a pagar FDO</t>
  </si>
  <si>
    <t>2.01.03.01.002</t>
  </si>
  <si>
    <t>Sueldos a pagar MG</t>
  </si>
  <si>
    <t>2.01.03.01.003</t>
  </si>
  <si>
    <t>Sueldos a pagar ENC</t>
  </si>
  <si>
    <t>2.01.03.01.004</t>
  </si>
  <si>
    <t>Sueldos a pagar PJC</t>
  </si>
  <si>
    <t>2.01.03.02.001</t>
  </si>
  <si>
    <t>Ips a pagar FDO</t>
  </si>
  <si>
    <t>2.01.03.02.002</t>
  </si>
  <si>
    <t>Ips a pagar MG</t>
  </si>
  <si>
    <t>2.01.03.02.003</t>
  </si>
  <si>
    <t>Ips a pagar ENC</t>
  </si>
  <si>
    <t>2.01.03.02.004</t>
  </si>
  <si>
    <t>Ips a pagar PJC</t>
  </si>
  <si>
    <t>2.01.03.03.001</t>
  </si>
  <si>
    <t>Liquidaciones a pagar FDO</t>
  </si>
  <si>
    <t>2.01.03.03.002</t>
  </si>
  <si>
    <t>Liquidaciones a pagar MG</t>
  </si>
  <si>
    <t>2.01.03.03.003</t>
  </si>
  <si>
    <t>Liquidaciones a pagar Enc</t>
  </si>
  <si>
    <t>2.01.03.03.004</t>
  </si>
  <si>
    <t>Liquidaciones a pagar PJC</t>
  </si>
  <si>
    <t>2.01.03.04.001</t>
  </si>
  <si>
    <t>Descuentos judiciales a pagar</t>
  </si>
  <si>
    <t>2.01.03.05.001</t>
  </si>
  <si>
    <t>Provision aguinaldos</t>
  </si>
  <si>
    <t>2.01.03.05.005</t>
  </si>
  <si>
    <t>Otras provisiones</t>
  </si>
  <si>
    <t>2.01.03.05.006</t>
  </si>
  <si>
    <t>Provisiones deposito judicial RRHH</t>
  </si>
  <si>
    <t>Prevision para juicios (laborales)</t>
  </si>
  <si>
    <t>2.01.03.06.002</t>
  </si>
  <si>
    <t>2.01.04.01.001</t>
  </si>
  <si>
    <t>DGGC a pagar</t>
  </si>
  <si>
    <t>2.01.04.02.001</t>
  </si>
  <si>
    <t>IVA debito fiscal 10%</t>
  </si>
  <si>
    <t>IMPUESTOS A PAGAR</t>
  </si>
  <si>
    <t>2.01.04.02.003</t>
  </si>
  <si>
    <t>Retencion IVA a terceros</t>
  </si>
  <si>
    <t>2.01.04.02.004</t>
  </si>
  <si>
    <t>Retencion RENTA a terceros</t>
  </si>
  <si>
    <t>2.01.05.02.001</t>
  </si>
  <si>
    <t>2.01.05.02.003</t>
  </si>
  <si>
    <t>2.01.06.01.001</t>
  </si>
  <si>
    <t>Anticipos de clientes locales</t>
  </si>
  <si>
    <t>2.01.06.01.002</t>
  </si>
  <si>
    <t>Anticipos de clientes migraciones</t>
  </si>
  <si>
    <t>2.01.06.01.003</t>
  </si>
  <si>
    <t>Anticipos de proyectos en ejecucion</t>
  </si>
  <si>
    <t>Prevision para juicios laborales LP</t>
  </si>
  <si>
    <t>2.02.01.01.001</t>
  </si>
  <si>
    <t>2.02.02.01.001</t>
  </si>
  <si>
    <t>Prestamos banco ITAU capital Guaranies LP</t>
  </si>
  <si>
    <t>2.02.02.01.002</t>
  </si>
  <si>
    <t>Prestamos banco ITAU capital Usd. LP</t>
  </si>
  <si>
    <t>2.02.02.02.001</t>
  </si>
  <si>
    <t>Intereses a pagar banco Itau Guaranies LP</t>
  </si>
  <si>
    <t>2.02.02.02.002</t>
  </si>
  <si>
    <t>Intereses a pagar banco Itau Usd. LP</t>
  </si>
  <si>
    <t>2.02.03.01.002</t>
  </si>
  <si>
    <t>Emision de bonos Dolares</t>
  </si>
  <si>
    <t>2.02.03.01.001</t>
  </si>
  <si>
    <t>Emision de bonos Guaranies</t>
  </si>
  <si>
    <t>3.01.01.01.001</t>
  </si>
  <si>
    <t>Capital Social</t>
  </si>
  <si>
    <t>3.01.01.01.002</t>
  </si>
  <si>
    <t>Aporte para aumento de capital</t>
  </si>
  <si>
    <t>3.01.02.01.001</t>
  </si>
  <si>
    <t>3.01.02.01.002</t>
  </si>
  <si>
    <t>Reserva Revaluo</t>
  </si>
  <si>
    <t>b  Reserva de revalúo técnico</t>
  </si>
  <si>
    <t>3.01.02.01.003</t>
  </si>
  <si>
    <t>Reserva Revaluo Extraordinario</t>
  </si>
  <si>
    <t>3.01.03.01.001</t>
  </si>
  <si>
    <t>Resultados Acumulados</t>
  </si>
  <si>
    <t>Período ganancias</t>
  </si>
  <si>
    <t>Activo</t>
  </si>
  <si>
    <t>Pasivo</t>
  </si>
  <si>
    <t>Patrimonio neto</t>
  </si>
  <si>
    <t>Saldo</t>
  </si>
  <si>
    <t>Ajuste</t>
  </si>
  <si>
    <t>Reclasificacion</t>
  </si>
  <si>
    <t>Cruce</t>
  </si>
  <si>
    <t>4.01.01.01.001</t>
  </si>
  <si>
    <t>Ventas vidrios crudos</t>
  </si>
  <si>
    <t>4.01.01.01.004</t>
  </si>
  <si>
    <t>Diferencia de precios vidrios crudos</t>
  </si>
  <si>
    <t>4.01.01.02.001</t>
  </si>
  <si>
    <t>Ventas perfiles</t>
  </si>
  <si>
    <t>4.01.01.02.004</t>
  </si>
  <si>
    <t>Descuentos de perfiles</t>
  </si>
  <si>
    <t>4.01.01.03.001</t>
  </si>
  <si>
    <t>Ventas herrajes</t>
  </si>
  <si>
    <t>4.01.01.03.002</t>
  </si>
  <si>
    <t>Descuentos de herrajes</t>
  </si>
  <si>
    <t>4.01.01.04.001</t>
  </si>
  <si>
    <t>Ventas construccion en seco</t>
  </si>
  <si>
    <t>4.01.01.04.002</t>
  </si>
  <si>
    <t>Descuentos de construccion en seco</t>
  </si>
  <si>
    <t>4.01.01.05.001</t>
  </si>
  <si>
    <t>Ventas carpinteria de aluminio</t>
  </si>
  <si>
    <t>4.01.01.06.001</t>
  </si>
  <si>
    <t>Ventas siliconas</t>
  </si>
  <si>
    <t>4.01.01.06.002</t>
  </si>
  <si>
    <t>Descuentos de siliconas</t>
  </si>
  <si>
    <t>4.01.01.07.001</t>
  </si>
  <si>
    <t>Ventas insumos</t>
  </si>
  <si>
    <t>4.01.01.07.003</t>
  </si>
  <si>
    <t>Descuentos de insumos</t>
  </si>
  <si>
    <t>4.01.01.09.002</t>
  </si>
  <si>
    <t>Ventas de equipos para la venta</t>
  </si>
  <si>
    <t>4.01.01.09.003</t>
  </si>
  <si>
    <t>Ventas Marketing</t>
  </si>
  <si>
    <t>4.01.01.09.004</t>
  </si>
  <si>
    <t>Ventas de retazos</t>
  </si>
  <si>
    <t>4.01.01.09.005</t>
  </si>
  <si>
    <t>Ventas de descabezados</t>
  </si>
  <si>
    <t>4.01.01.09.006</t>
  </si>
  <si>
    <t>Ventas de mercaderias importadas</t>
  </si>
  <si>
    <t>4.01.01.09.007</t>
  </si>
  <si>
    <t>Ventas de mercaderias locales</t>
  </si>
  <si>
    <t>4.01.02.01.001</t>
  </si>
  <si>
    <t>Ventas procesados</t>
  </si>
  <si>
    <t>4.01.02.01.003</t>
  </si>
  <si>
    <t>Descuentos de productos procesados</t>
  </si>
  <si>
    <t>4.01.02.01.005</t>
  </si>
  <si>
    <t>Ventas de productos estandar</t>
  </si>
  <si>
    <t>4.01.03.01.001</t>
  </si>
  <si>
    <t>4.01.04.01.001</t>
  </si>
  <si>
    <t>4.01.04.01.004</t>
  </si>
  <si>
    <t>Descuentos ventas servicios</t>
  </si>
  <si>
    <t>4.01.04.01.005</t>
  </si>
  <si>
    <t>Ventas servicios aereos</t>
  </si>
  <si>
    <t>4.01.05.01.001</t>
  </si>
  <si>
    <t>Venta procesados export</t>
  </si>
  <si>
    <t>4.01.05.01.005</t>
  </si>
  <si>
    <t>Flete exportacion</t>
  </si>
  <si>
    <t>4.01.05.01.006</t>
  </si>
  <si>
    <t>Seguro exportacion</t>
  </si>
  <si>
    <t>5.01.01.01.001</t>
  </si>
  <si>
    <t>Costo vidrios crudos</t>
  </si>
  <si>
    <t>5.01.01.02.001</t>
  </si>
  <si>
    <t>Costo perfiles</t>
  </si>
  <si>
    <t>5.01.01.03.001</t>
  </si>
  <si>
    <t>5.01.01.04.001</t>
  </si>
  <si>
    <t>Costo de ventas construccion en seco</t>
  </si>
  <si>
    <t>5.01.01.04.002</t>
  </si>
  <si>
    <t>Otros costos construccion en seco</t>
  </si>
  <si>
    <t>5.01.01.05.001</t>
  </si>
  <si>
    <t>5.01.01.06.001</t>
  </si>
  <si>
    <t>Costo de ventas silicona</t>
  </si>
  <si>
    <t>5.01.01.07.001</t>
  </si>
  <si>
    <t>Costo de venta insumos</t>
  </si>
  <si>
    <t>5.01.02.01.001</t>
  </si>
  <si>
    <t>Costos procesados</t>
  </si>
  <si>
    <t>5.01.02.01.002</t>
  </si>
  <si>
    <t>Costos de productos estandar</t>
  </si>
  <si>
    <t>5.01.02.02.001</t>
  </si>
  <si>
    <t>Costo procesados exportacion</t>
  </si>
  <si>
    <t>5.01.02.02.002</t>
  </si>
  <si>
    <t>Costos gastos exportacion</t>
  </si>
  <si>
    <t>5.01.03.01.001</t>
  </si>
  <si>
    <t>Costos de venta MKT</t>
  </si>
  <si>
    <t>5.01.03.01.002</t>
  </si>
  <si>
    <t>Costos de venta equipos para la venta</t>
  </si>
  <si>
    <t>5.01.03.01.004</t>
  </si>
  <si>
    <t>Costos de mercaderias importadas</t>
  </si>
  <si>
    <t>5.01.03.01.005</t>
  </si>
  <si>
    <t>Costos de mercaderias locales</t>
  </si>
  <si>
    <t>5.01.03.02.001</t>
  </si>
  <si>
    <t>Costo de ventas de obras</t>
  </si>
  <si>
    <t>5.01.03.03.001</t>
  </si>
  <si>
    <t>Costos de Retazos</t>
  </si>
  <si>
    <t>5.01.03.03.003</t>
  </si>
  <si>
    <t>Costos saldo Vilux</t>
  </si>
  <si>
    <t>5.01.03.03.004</t>
  </si>
  <si>
    <t>Costos descabezados</t>
  </si>
  <si>
    <t>5.01.03.04.001</t>
  </si>
  <si>
    <t>Costos de Servicios Aeronave combustible</t>
  </si>
  <si>
    <t>5.01.03.04.002</t>
  </si>
  <si>
    <t>Costo de servicios aeronave piloto</t>
  </si>
  <si>
    <t>6.01.01.01.001</t>
  </si>
  <si>
    <t>Sueldos y Jornales</t>
  </si>
  <si>
    <t>6.01.01.01.002</t>
  </si>
  <si>
    <t>Horas Extras</t>
  </si>
  <si>
    <t>6.01.01.01.003</t>
  </si>
  <si>
    <t>Complemento horario nocturno</t>
  </si>
  <si>
    <t>6.01.01.01.004</t>
  </si>
  <si>
    <t>Otros beneficios IPS</t>
  </si>
  <si>
    <t>6.01.01.01.005</t>
  </si>
  <si>
    <t>Comisiones pagadas IPS</t>
  </si>
  <si>
    <t>6.01.01.01.006</t>
  </si>
  <si>
    <t>Vacaciones</t>
  </si>
  <si>
    <t>6.01.01.01.007</t>
  </si>
  <si>
    <t>Aguinaldo</t>
  </si>
  <si>
    <t>6.01.01.01.008</t>
  </si>
  <si>
    <t>Gratificaciones</t>
  </si>
  <si>
    <t>6.01.01.01.010</t>
  </si>
  <si>
    <t>Preaviso</t>
  </si>
  <si>
    <t>6.01.01.01.011</t>
  </si>
  <si>
    <t>Indemnizacion</t>
  </si>
  <si>
    <t>6.01.01.01.012</t>
  </si>
  <si>
    <t>Aporte Patronal</t>
  </si>
  <si>
    <t>6.01.01.01.013</t>
  </si>
  <si>
    <t>Bonificacion Familiar</t>
  </si>
  <si>
    <t>6.01.01.02.001</t>
  </si>
  <si>
    <t>Servicios personales</t>
  </si>
  <si>
    <t>6.01.01.02.002</t>
  </si>
  <si>
    <t>Comisiones pagadas Servicios</t>
  </si>
  <si>
    <t>6.01.01.03.001</t>
  </si>
  <si>
    <t>Remuneracion Personal Superior</t>
  </si>
  <si>
    <t>6.01.01.04.001</t>
  </si>
  <si>
    <t>Capacitacion del personal</t>
  </si>
  <si>
    <t>6.01.01.04.003</t>
  </si>
  <si>
    <t>Seguro Medico</t>
  </si>
  <si>
    <t>6.01.01.04.004</t>
  </si>
  <si>
    <t>Beneficios almuerzos</t>
  </si>
  <si>
    <t>6.01.01.04.005</t>
  </si>
  <si>
    <t>Beneficios uniformes</t>
  </si>
  <si>
    <t>6.01.01.04.007</t>
  </si>
  <si>
    <t>Eventos RRHH</t>
  </si>
  <si>
    <t>6.01.01.04.008</t>
  </si>
  <si>
    <t>Campa¤as internas RRHH</t>
  </si>
  <si>
    <t>6.01.01.04.009</t>
  </si>
  <si>
    <t>Busqueda y seleccion de personal</t>
  </si>
  <si>
    <t>6.01.01.04.010</t>
  </si>
  <si>
    <t>Otros gastos RRHH</t>
  </si>
  <si>
    <t>6.01.01.04.012</t>
  </si>
  <si>
    <t>Otros Beneficios</t>
  </si>
  <si>
    <t>6.01.01.05.001</t>
  </si>
  <si>
    <t>Honorarios Auditoria Externa</t>
  </si>
  <si>
    <t>6.01.01.05.002</t>
  </si>
  <si>
    <t>Honorarios Legales</t>
  </si>
  <si>
    <t>6.01.01.05.003</t>
  </si>
  <si>
    <t>Honorarios Servicios Asesores</t>
  </si>
  <si>
    <t>6.01.01.05.004</t>
  </si>
  <si>
    <t>Prestaciones de terceros</t>
  </si>
  <si>
    <t>6.01.01.05.005</t>
  </si>
  <si>
    <t>Honorarios Sindicos</t>
  </si>
  <si>
    <t>6.01.01.05.006</t>
  </si>
  <si>
    <t>Honorarios Legales Judiciales</t>
  </si>
  <si>
    <t>6.01.01.05.007</t>
  </si>
  <si>
    <t>Gastos de Cobranzas Extrajudiciales</t>
  </si>
  <si>
    <t>6.01.01.06.001</t>
  </si>
  <si>
    <t>6.01.01.06.002</t>
  </si>
  <si>
    <t>Servicios de comunicaciones</t>
  </si>
  <si>
    <t>6.01.01.06.003</t>
  </si>
  <si>
    <t>Otros Servicios</t>
  </si>
  <si>
    <t>6.01.01.06.004</t>
  </si>
  <si>
    <t>Consumo Agua</t>
  </si>
  <si>
    <t>6.01.01.07.001</t>
  </si>
  <si>
    <t>Usufructo de Inmuebles</t>
  </si>
  <si>
    <t>6.01.01.07.002</t>
  </si>
  <si>
    <t>Alquileres de Inmuebles</t>
  </si>
  <si>
    <t>6.01.01.07.003</t>
  </si>
  <si>
    <t>Leasing de Maquinas y Equipos</t>
  </si>
  <si>
    <t>6.01.01.07.005</t>
  </si>
  <si>
    <t>Otros Alquileres</t>
  </si>
  <si>
    <t>6.01.01.07.006</t>
  </si>
  <si>
    <t>Alquiler de maquinarias</t>
  </si>
  <si>
    <t>6.01.01.08.001</t>
  </si>
  <si>
    <t>Comisiones Tarjeta de credito</t>
  </si>
  <si>
    <t>6.01.01.09.001</t>
  </si>
  <si>
    <t>Publicidad y Marketing</t>
  </si>
  <si>
    <t>6.01.01.09.002</t>
  </si>
  <si>
    <t>Auspicios</t>
  </si>
  <si>
    <t>6.01.01.09.003</t>
  </si>
  <si>
    <t>Eventos MKT</t>
  </si>
  <si>
    <t>6.01.01.09.004</t>
  </si>
  <si>
    <t>Desarrollos nuevos productos MKT</t>
  </si>
  <si>
    <t>6.01.01.09.006</t>
  </si>
  <si>
    <t>Servicios de Imprenta</t>
  </si>
  <si>
    <t>6.01.01.09.008</t>
  </si>
  <si>
    <t>Merchandising</t>
  </si>
  <si>
    <t>6.01.01.09.009</t>
  </si>
  <si>
    <t>Obsequios otorgados</t>
  </si>
  <si>
    <t>6.01.01.09.010</t>
  </si>
  <si>
    <t>Gastos Varios MKT</t>
  </si>
  <si>
    <t>6.01.01.09.012</t>
  </si>
  <si>
    <t>Beneficio a Clientes por Carteles</t>
  </si>
  <si>
    <t>6.01.01.09.013</t>
  </si>
  <si>
    <t>Eventos Institucionales</t>
  </si>
  <si>
    <t>6.01.01.10.001</t>
  </si>
  <si>
    <t>Seguros rodados</t>
  </si>
  <si>
    <t>6.01.01.10.002</t>
  </si>
  <si>
    <t>Seguros patrimoniales</t>
  </si>
  <si>
    <t>6.01.01.10.003</t>
  </si>
  <si>
    <t>Seguros varios</t>
  </si>
  <si>
    <t>6.01.01.10.004</t>
  </si>
  <si>
    <t>Seguros mercaderias en transito</t>
  </si>
  <si>
    <t>6.01.01.11.001</t>
  </si>
  <si>
    <t>Mantenimiento inmuebles y edificios</t>
  </si>
  <si>
    <t>6.01.01.11.002</t>
  </si>
  <si>
    <t>Mantenimiento automotores</t>
  </si>
  <si>
    <t>6.01.01.11.003</t>
  </si>
  <si>
    <t>Mantenimiento sistemas</t>
  </si>
  <si>
    <t>6.01.01.11.004</t>
  </si>
  <si>
    <t>Mantenimiento muebles y equipos</t>
  </si>
  <si>
    <t>6.01.01.11.005</t>
  </si>
  <si>
    <t>Gastos de mermas</t>
  </si>
  <si>
    <t>6.01.01.11.007</t>
  </si>
  <si>
    <t>Mantenimiento preventivo maquinas y equipos planta</t>
  </si>
  <si>
    <t>6.01.01.11.008</t>
  </si>
  <si>
    <t>Mantenimiento correctivo maquinas y equipos planta</t>
  </si>
  <si>
    <t>6.01.01.11.009</t>
  </si>
  <si>
    <t>6.01.01.11.010</t>
  </si>
  <si>
    <t>Mantenimiento maquinarias</t>
  </si>
  <si>
    <t>6.01.01.11.011</t>
  </si>
  <si>
    <t>Gastos servicios tecnico tercerizado</t>
  </si>
  <si>
    <t>6.01.01.11.012</t>
  </si>
  <si>
    <t>Mantenimiento Aeronave</t>
  </si>
  <si>
    <t>6.01.01.11.014</t>
  </si>
  <si>
    <t>Gastos combustibles Aeronave</t>
  </si>
  <si>
    <t>6.01.01.11.013</t>
  </si>
  <si>
    <t>Gastos operativos Aeronave</t>
  </si>
  <si>
    <t>6.01.01.12.002</t>
  </si>
  <si>
    <t>Gastos de movilidad logistica</t>
  </si>
  <si>
    <t>6.01.01.12.003</t>
  </si>
  <si>
    <t>Gastos de distribucion</t>
  </si>
  <si>
    <t>6.01.01.12.004</t>
  </si>
  <si>
    <t>Gastos de fletes</t>
  </si>
  <si>
    <t>6.01.01.12.005</t>
  </si>
  <si>
    <t>Leasing rodados</t>
  </si>
  <si>
    <t>6.01.01.12.006</t>
  </si>
  <si>
    <t>Gastos de almacenamiento</t>
  </si>
  <si>
    <t>6.01.01.12.007</t>
  </si>
  <si>
    <t>Gastos de reparto almacenamiento</t>
  </si>
  <si>
    <t>6.01.01.12.008</t>
  </si>
  <si>
    <t>Gastos de exportacion</t>
  </si>
  <si>
    <t>6.01.01.13.002</t>
  </si>
  <si>
    <t>6.01.01.14.001</t>
  </si>
  <si>
    <t>Insumos de calidad CIPA</t>
  </si>
  <si>
    <t>6.01.01.14.003</t>
  </si>
  <si>
    <t>Equipos de proteccion</t>
  </si>
  <si>
    <t>6.01.01.14.004</t>
  </si>
  <si>
    <t>Seguridad y vigilancia</t>
  </si>
  <si>
    <t>6.01.01.14.005</t>
  </si>
  <si>
    <t>Gastos CIPA</t>
  </si>
  <si>
    <t>6.01.01.15.002</t>
  </si>
  <si>
    <t>Estadias y viaticos</t>
  </si>
  <si>
    <t>6.01.01.15.003</t>
  </si>
  <si>
    <t>Gastos de movilidad</t>
  </si>
  <si>
    <t>6.01.01.16.001</t>
  </si>
  <si>
    <t>Utiles de oficina</t>
  </si>
  <si>
    <t>6.01.01.16.002</t>
  </si>
  <si>
    <t>Publicaciones - Suscripciones</t>
  </si>
  <si>
    <t>6.01.01.17.001</t>
  </si>
  <si>
    <t>Gastos de representacion local</t>
  </si>
  <si>
    <t>6.01.01.18.001</t>
  </si>
  <si>
    <t>Insumos de limpieza</t>
  </si>
  <si>
    <t>6.01.01.18.002</t>
  </si>
  <si>
    <t>Insumos de refrigerios, agua, cafe</t>
  </si>
  <si>
    <t>6.01.01.18.003</t>
  </si>
  <si>
    <t>Gastos varios</t>
  </si>
  <si>
    <t>6.01.01.18.004</t>
  </si>
  <si>
    <t>Gastos de insumos menores</t>
  </si>
  <si>
    <t>6.01.01.18.005</t>
  </si>
  <si>
    <t>Insumos produccion</t>
  </si>
  <si>
    <t>6.01.01.18.006</t>
  </si>
  <si>
    <t>Donaciones</t>
  </si>
  <si>
    <t>6.01.01.18.007</t>
  </si>
  <si>
    <t>Contingencia COVID-19</t>
  </si>
  <si>
    <t>6.01.01.19.001</t>
  </si>
  <si>
    <t>Patente comercial</t>
  </si>
  <si>
    <t>6.01.01.19.003</t>
  </si>
  <si>
    <t>IVA gasto no deducible</t>
  </si>
  <si>
    <t>6.01.01.19.004</t>
  </si>
  <si>
    <t>Impuestos inmobiliarios</t>
  </si>
  <si>
    <t>6.01.01.19.005</t>
  </si>
  <si>
    <t>Otras tasas y contribuciones</t>
  </si>
  <si>
    <t>6.01.01.19.006</t>
  </si>
  <si>
    <t>Otros impuestos</t>
  </si>
  <si>
    <t>6.01.01.19.007</t>
  </si>
  <si>
    <t>Retencion impuesto a la renta</t>
  </si>
  <si>
    <t>6.01.01.19.008</t>
  </si>
  <si>
    <t>Gastos Aranceles</t>
  </si>
  <si>
    <t>6.01.01.20.001</t>
  </si>
  <si>
    <t>Aplicaci¢n sueldos, cargas y gastos produccion</t>
  </si>
  <si>
    <t>6.01.03.01.001</t>
  </si>
  <si>
    <t>Depreciacion edificio</t>
  </si>
  <si>
    <t>6.01.03.01.002</t>
  </si>
  <si>
    <t>Depreciacion rodados</t>
  </si>
  <si>
    <t>6.01.03.01.004</t>
  </si>
  <si>
    <t>Depreciacion maquinarias y equipos de planta</t>
  </si>
  <si>
    <t>6.01.03.01.003</t>
  </si>
  <si>
    <t>Depreciacion muebles y utiles</t>
  </si>
  <si>
    <t>6.01.03.01.006</t>
  </si>
  <si>
    <t>Depreciacion equipos informaticos</t>
  </si>
  <si>
    <t>6.01.03.01.007</t>
  </si>
  <si>
    <t>Depreciacion en mejoras en predio ajeno</t>
  </si>
  <si>
    <t>6.01.03.01.008</t>
  </si>
  <si>
    <t>Depreciacion herramientas y equipos</t>
  </si>
  <si>
    <t>6.01.03.01.009</t>
  </si>
  <si>
    <t>Depreciacion licencias informaticas</t>
  </si>
  <si>
    <t>7.01.01.01.001</t>
  </si>
  <si>
    <t>Intereses bancarios cobrados</t>
  </si>
  <si>
    <t>7.01.01.01.002</t>
  </si>
  <si>
    <t>Intereses cobrados</t>
  </si>
  <si>
    <t>7.01.01.01.003</t>
  </si>
  <si>
    <t>Sobrante de caja</t>
  </si>
  <si>
    <t>7.01.01.01.004</t>
  </si>
  <si>
    <t>Resultado por diferencia de cambio ganancia</t>
  </si>
  <si>
    <t>7.01.01.01.005</t>
  </si>
  <si>
    <t>Resultado por movimiento de caja ingreso</t>
  </si>
  <si>
    <t>7.01.01.02.001</t>
  </si>
  <si>
    <t>Venta de Activo fijo</t>
  </si>
  <si>
    <t>7.01.01.03.005</t>
  </si>
  <si>
    <t>Recuperos seguros</t>
  </si>
  <si>
    <t>7.01.01.03.008</t>
  </si>
  <si>
    <t>Ingresos por servicios varios</t>
  </si>
  <si>
    <t>7.01.01.03.001</t>
  </si>
  <si>
    <t>Ingresos varios</t>
  </si>
  <si>
    <t>7.01.01.03.002</t>
  </si>
  <si>
    <t>Alquileres cobrados</t>
  </si>
  <si>
    <t>7.01.01.03.003</t>
  </si>
  <si>
    <t>Cargos administrativos</t>
  </si>
  <si>
    <t>7.01.01.03.006</t>
  </si>
  <si>
    <t>Cargos administrativos judicial y extra judicial</t>
  </si>
  <si>
    <t>7.01.01.03.007</t>
  </si>
  <si>
    <t>Ingreso por recupero de gastos</t>
  </si>
  <si>
    <t>7.01.01.03.009</t>
  </si>
  <si>
    <t>Descuentos obtenidos</t>
  </si>
  <si>
    <t>7.01.01.03.010</t>
  </si>
  <si>
    <t>Ingresos varios existencias</t>
  </si>
  <si>
    <t>7.01.01.03.011</t>
  </si>
  <si>
    <t>Diferencia recepcion inventario</t>
  </si>
  <si>
    <t>7.01.01.04.001</t>
  </si>
  <si>
    <t>Descuento por acuerdo comercial</t>
  </si>
  <si>
    <t>7.01.01.05.001</t>
  </si>
  <si>
    <t>Ganancia por diferencia de conversion</t>
  </si>
  <si>
    <t>8.01.01.01.001</t>
  </si>
  <si>
    <t>Intereses bancarios pagados</t>
  </si>
  <si>
    <t>8.01.01.01.004</t>
  </si>
  <si>
    <t>Diferencia de cambio perdida</t>
  </si>
  <si>
    <t>8.01.01.01.005</t>
  </si>
  <si>
    <t>Comisiones bancarias</t>
  </si>
  <si>
    <t>8.01.01.01.006</t>
  </si>
  <si>
    <t>Gastos bancarios</t>
  </si>
  <si>
    <t>8.01.01.01.007</t>
  </si>
  <si>
    <t>Intereses Pagados por emision de Bonos</t>
  </si>
  <si>
    <t>8.01.01.02.001</t>
  </si>
  <si>
    <t>Gastos por cobranzas extrajudiciales</t>
  </si>
  <si>
    <t>8.01.01.02.002</t>
  </si>
  <si>
    <t>Egresos varios</t>
  </si>
  <si>
    <t>8.01.01.02.004</t>
  </si>
  <si>
    <t>Gastos no deducibles</t>
  </si>
  <si>
    <t>8.01.01.02.006</t>
  </si>
  <si>
    <t>Egresos varios existencia</t>
  </si>
  <si>
    <t>8.01.01.04.002</t>
  </si>
  <si>
    <t>Diferencia de inventario mercaderias</t>
  </si>
  <si>
    <t>8.01.01.04.004</t>
  </si>
  <si>
    <t>Prevision por obsolecencias</t>
  </si>
  <si>
    <t>8.01.01.04.006</t>
  </si>
  <si>
    <t>Diferencia por redondeo</t>
  </si>
  <si>
    <t>8.01.01.04.007</t>
  </si>
  <si>
    <t>Diferencia de precio</t>
  </si>
  <si>
    <t>8.01.01.04.008</t>
  </si>
  <si>
    <t>Baja de inventario mercaderias obsoletas</t>
  </si>
  <si>
    <t>8.01.01.04.009</t>
  </si>
  <si>
    <t>Diferencia de cambio movimiento caja</t>
  </si>
  <si>
    <t>8.01.01.04.011</t>
  </si>
  <si>
    <t>Prevision creditos incobrables</t>
  </si>
  <si>
    <t>8.01.01.05.001</t>
  </si>
  <si>
    <t>Perdida por diferencia de conversion</t>
  </si>
  <si>
    <t>8.02.01.01.001</t>
  </si>
  <si>
    <t>Impuesto a la Renta</t>
  </si>
  <si>
    <t>año 2022</t>
  </si>
  <si>
    <t>4.01.01.01.002</t>
  </si>
  <si>
    <t>Descuentos vidrios crudos</t>
  </si>
  <si>
    <t>4.01.01.01.003</t>
  </si>
  <si>
    <t>Devolucion de vidrios crudos</t>
  </si>
  <si>
    <t>4.01.01.02.002</t>
  </si>
  <si>
    <t>Devolucion de perfiles</t>
  </si>
  <si>
    <t>4.01.01.03.003</t>
  </si>
  <si>
    <t>Devolucion de herrajes</t>
  </si>
  <si>
    <t>4.01.01.04.003</t>
  </si>
  <si>
    <t>Devolucion construccion en seco</t>
  </si>
  <si>
    <t>4.01.01.05.002</t>
  </si>
  <si>
    <t>Descuentos de carpinteria de aluminio</t>
  </si>
  <si>
    <t>4.01.01.05.003</t>
  </si>
  <si>
    <t>Devolucion carpinteria de aluminio</t>
  </si>
  <si>
    <t>4.01.01.06.003</t>
  </si>
  <si>
    <t>Devolucion siliconas</t>
  </si>
  <si>
    <t>4.01.01.08.001</t>
  </si>
  <si>
    <t>Ventas divisorias</t>
  </si>
  <si>
    <t>4.01.01.08.002</t>
  </si>
  <si>
    <t>Devolucion divisorias</t>
  </si>
  <si>
    <t>4.01.01.08.004</t>
  </si>
  <si>
    <t>Descuentos divisorias</t>
  </si>
  <si>
    <t>4.01.01.09.001</t>
  </si>
  <si>
    <t>Ventas de productos no conformes</t>
  </si>
  <si>
    <t>4.01.02.01.002</t>
  </si>
  <si>
    <t>Devolucion de procesados</t>
  </si>
  <si>
    <t>4.01.03.01.002</t>
  </si>
  <si>
    <t>Devolucion obras</t>
  </si>
  <si>
    <t>4.01.03.01.004</t>
  </si>
  <si>
    <t>Descuentos obras</t>
  </si>
  <si>
    <t>4.01.04.01.002</t>
  </si>
  <si>
    <t>Devolucion ventas servicios</t>
  </si>
  <si>
    <t>costo</t>
  </si>
  <si>
    <t>Costo construción en seco</t>
  </si>
  <si>
    <t>5.01.01.07.002</t>
  </si>
  <si>
    <t>Otros costos insumos</t>
  </si>
  <si>
    <t>5.01.01.08.001</t>
  </si>
  <si>
    <t>Costos divisorias</t>
  </si>
  <si>
    <t>5.01.03.01.003</t>
  </si>
  <si>
    <t>Costos productos no conformes</t>
  </si>
  <si>
    <t>5.01.03.03.002</t>
  </si>
  <si>
    <t>Costo de Mermas</t>
  </si>
  <si>
    <t>Costos de Servicios</t>
  </si>
  <si>
    <t>Gastos</t>
  </si>
  <si>
    <t>ok</t>
  </si>
  <si>
    <t>6.01.01.09.011</t>
  </si>
  <si>
    <t>Talleres y entrenamientos MKT</t>
  </si>
  <si>
    <t>6.01.01.12.001</t>
  </si>
  <si>
    <t>Gastos de movilidad repartos</t>
  </si>
  <si>
    <t>6.01.01.14.002</t>
  </si>
  <si>
    <t>Insumos de calidad</t>
  </si>
  <si>
    <t>6.01.01.17.002</t>
  </si>
  <si>
    <t>Gastos de representacion exterior</t>
  </si>
  <si>
    <t>6.01.03.01.005</t>
  </si>
  <si>
    <t>Depreciacion instalaciones</t>
  </si>
  <si>
    <t>resultado financiero +</t>
  </si>
  <si>
    <t>8.01.01.01.003</t>
  </si>
  <si>
    <t>Faltante de caja</t>
  </si>
  <si>
    <t>8.01.01.02.003</t>
  </si>
  <si>
    <t>Multas y recargos</t>
  </si>
  <si>
    <t>8.01.01.02.005</t>
  </si>
  <si>
    <t>Egresos por Gastos a recuperar</t>
  </si>
  <si>
    <t>8.01.01.03.001</t>
  </si>
  <si>
    <t>Costo de ventas bienes de uso</t>
  </si>
  <si>
    <t>8.01.01.04.010</t>
  </si>
  <si>
    <t>Prevision juicios y contingencias</t>
  </si>
  <si>
    <t>{a}</t>
  </si>
  <si>
    <t>Eliminaciones</t>
  </si>
  <si>
    <t>Variaciones</t>
  </si>
  <si>
    <t>Actividades de Operación</t>
  </si>
  <si>
    <t>Actividades de Inversión</t>
  </si>
  <si>
    <t>Resultado 
del ejercicio</t>
  </si>
  <si>
    <t>Previsiones
 por incobrables</t>
  </si>
  <si>
    <t>Reservas</t>
  </si>
  <si>
    <t>Provisiones 
varias</t>
  </si>
  <si>
    <t>Capitalizacion</t>
  </si>
  <si>
    <t>Ajustado
31.12.2022</t>
  </si>
  <si>
    <t>Débitos(+)
Créditos(-)</t>
  </si>
  <si>
    <t>Ventas locales</t>
  </si>
  <si>
    <t>Pago a Empleados</t>
  </si>
  <si>
    <t xml:space="preserve">Pago a Proveedores </t>
  </si>
  <si>
    <t>Pago a relacionadas</t>
  </si>
  <si>
    <t xml:space="preserve">Pago del Impuesto </t>
  </si>
  <si>
    <t>Intereses Pagados</t>
  </si>
  <si>
    <t>Otros ingresos/egresos</t>
  </si>
  <si>
    <t>Préstamos financieros</t>
  </si>
  <si>
    <t>Préstamos con partes relacionadas</t>
  </si>
  <si>
    <t>Ventas de bienes de uso</t>
  </si>
  <si>
    <t>Adquisicion de Bienes de Uso</t>
  </si>
  <si>
    <t>Aporte para futuras emisiones</t>
  </si>
  <si>
    <t xml:space="preserve">Otros créditos </t>
  </si>
  <si>
    <t>Inversión en asociadas</t>
  </si>
  <si>
    <t>Propiedades, planta y equipo/Bienes de uso, neto</t>
  </si>
  <si>
    <t>Activos disponibles para la venta</t>
  </si>
  <si>
    <t>Goodwill</t>
  </si>
  <si>
    <t xml:space="preserve">Préstamos a corto plazo </t>
  </si>
  <si>
    <t xml:space="preserve">Préstamos a largo plazo </t>
  </si>
  <si>
    <t>Otros pasivos  no corrientes</t>
  </si>
  <si>
    <t>Patrimonio Neto</t>
  </si>
  <si>
    <t>Aportes de socios a capitalizar</t>
  </si>
  <si>
    <t>Reserva de revalúo tecnico</t>
  </si>
  <si>
    <t>Reserva de revalúo fiscal</t>
  </si>
  <si>
    <t>INGRESOS Y EGRESOS</t>
  </si>
  <si>
    <t>Gastos de ventas y comercializacion</t>
  </si>
  <si>
    <t>Gastos de produccion</t>
  </si>
  <si>
    <t xml:space="preserve">Gastos administrativos </t>
  </si>
  <si>
    <t>Gastos financieros -  neto</t>
  </si>
  <si>
    <t xml:space="preserve">Utilidad/(Pérdida) neta del año </t>
  </si>
  <si>
    <t>Ajuste 1</t>
  </si>
  <si>
    <t>Resultado del ejercicio</t>
  </si>
  <si>
    <t>Ajuste 2</t>
  </si>
  <si>
    <t>Incobrables Recuperados</t>
  </si>
  <si>
    <t>Creditos Incobrables</t>
  </si>
  <si>
    <t>Ajuste 3</t>
  </si>
  <si>
    <t>Ajuste 4</t>
  </si>
  <si>
    <t>Amortizaciones</t>
  </si>
  <si>
    <t>Ajuste 5</t>
  </si>
  <si>
    <t>Provisiones varias</t>
  </si>
  <si>
    <t/>
  </si>
  <si>
    <t>Ajuste 6</t>
  </si>
  <si>
    <t>Pagos a empleados</t>
  </si>
  <si>
    <t>nómina de personal.</t>
  </si>
  <si>
    <t>Los activos y pasivos en moneda extranjera se valúan a los tipos de cambio vigentes a la fecha de cierre del ejercicio (ver Nota 13). Al 31 de diciembre de 2023 y 2022 los tipos de cambio vigentes eran los siguientes:</t>
  </si>
  <si>
    <t xml:space="preserve"> 31 de diciembre de 2022</t>
  </si>
  <si>
    <t>1.01.01.01.011</t>
  </si>
  <si>
    <t>Caja Central Dólares ENC</t>
  </si>
  <si>
    <t>****</t>
  </si>
  <si>
    <t>1.01.04.03.007</t>
  </si>
  <si>
    <t>Anticipos Transportadora Carlos Costa S.A.</t>
  </si>
  <si>
    <t>Mercaderias Recuperadas</t>
  </si>
  <si>
    <t>2.01.02.02.003</t>
  </si>
  <si>
    <t>Intereses a pagar bonos</t>
  </si>
  <si>
    <t>2.02.03.02.01</t>
  </si>
  <si>
    <t>Intereses por emision de bonos Guaranies</t>
  </si>
  <si>
    <t>Saldo ajustado</t>
  </si>
  <si>
    <t>Intereses bursatiles a pagar CP</t>
  </si>
  <si>
    <t>Partes relacionadas (Nota 23)</t>
  </si>
  <si>
    <t>6.01.01.09.014</t>
  </si>
  <si>
    <t>Beneficio Plan de Fidelizacion Instaladores Aliado</t>
  </si>
  <si>
    <t>8.01.01.01.008</t>
  </si>
  <si>
    <t>Comisiones bonos emitidos</t>
  </si>
  <si>
    <t>Depreciaciones Adm</t>
  </si>
  <si>
    <t>Otros ingresos</t>
  </si>
  <si>
    <t>Depreciacion Adm</t>
  </si>
  <si>
    <t>2023</t>
  </si>
  <si>
    <t>Ajustado
31.03.2023</t>
  </si>
  <si>
    <t>1.01.01.08.005</t>
  </si>
  <si>
    <t>Banco Atlas Cta Ahorro 1420538 USD</t>
  </si>
  <si>
    <t>1.01.04.01.003</t>
  </si>
  <si>
    <t>Otros anticipos a rendir</t>
  </si>
  <si>
    <t>1.01.04.08.002</t>
  </si>
  <si>
    <t>Cuentas a facturar</t>
  </si>
  <si>
    <t>2.02.03.02.02</t>
  </si>
  <si>
    <t>Intereses por emision de bonos  Dolares</t>
  </si>
  <si>
    <t>4.01.06.01.001</t>
  </si>
  <si>
    <t>Descuento volumen Glassber</t>
  </si>
  <si>
    <t>4.01.06.01.002</t>
  </si>
  <si>
    <t>Descuento volumen Alukler</t>
  </si>
  <si>
    <t>4.01.06.02.001</t>
  </si>
  <si>
    <t>Ingresos participacion Chaco</t>
  </si>
  <si>
    <t>8.01.01.01.002</t>
  </si>
  <si>
    <t>Deudas financieras Reales</t>
  </si>
  <si>
    <t>Deudas financieras Euros</t>
  </si>
  <si>
    <t>CORRESPONDIENTE AL PERIODO INICIADO EL 1º DE ENERO DE 2023 AL 30 DE SETIEMBRE DE 2023</t>
  </si>
  <si>
    <t>1.01.01.02.003</t>
  </si>
  <si>
    <t>1.01.01.05.011</t>
  </si>
  <si>
    <t>1.01.01.06.006</t>
  </si>
  <si>
    <t>1.01.01.09.002</t>
  </si>
  <si>
    <t>1.01.01.09.006</t>
  </si>
  <si>
    <t>1.01.06.01.023</t>
  </si>
  <si>
    <t>2.01.03.04.003</t>
  </si>
  <si>
    <t>3.01.03.01.002</t>
  </si>
  <si>
    <t>3.01.03.01.003</t>
  </si>
  <si>
    <t>Recaudaciones a depositar Reales</t>
  </si>
  <si>
    <t>Banco GNB Cta.13215536-001 Guaranies</t>
  </si>
  <si>
    <t>Banco GNB Cta.13215536-002 Usd</t>
  </si>
  <si>
    <t>Cuenta control compra de divisas</t>
  </si>
  <si>
    <t>Cuenta control venta de divisas</t>
  </si>
  <si>
    <t>Movimiento Stock vidrios</t>
  </si>
  <si>
    <t>Comisiones a pagar</t>
  </si>
  <si>
    <t>Resultado del Ejercicio</t>
  </si>
  <si>
    <t>Saldos iniciales de migracion</t>
  </si>
  <si>
    <t>Balance General al 30 de setiembre de 2023</t>
  </si>
  <si>
    <t>Set-2023</t>
  </si>
  <si>
    <t>Prestamos banco ITAU capital Usd. CP</t>
  </si>
  <si>
    <t>SET-2023</t>
  </si>
  <si>
    <t>Notas a los Estados Financieros al 30 de setiembre de 2023</t>
  </si>
  <si>
    <t>de la ciudad de Fernando de la Mora. Al 30 de setiembre de 2023 la Sociedad contaba con 395 personas en su</t>
  </si>
  <si>
    <t>Los estados financieros se han preparado siguiendo los criterios de las Normas de Información Financiera emitidas por el Consejo de Contadores Públicos del Paraguay sobre la base de costos históricos, excepto para el caso de activos y pasivos en moneda extranjera y los bienes de uso según se explica en los puntos c. y h. de la presente nota, y no reconocen en forma integral los efectos de la inflación sobre la situación patrimonial y financiera de la Sociedad, sobre los resultados de sus operaciones y los flujos de efectivo. De haberse aplicado una corrección monetaria integral de los estados financieros, podrían haber surgido diferencias en la presentación de la situación patrimonial y financiera de la Sociedad, en los resultados de sus operaciones y en los flujos de efectivo al 31 de diciembre de 2022 y 2021. Según el índice general de precios del consumo (IPC) publicado por el Banco Central del Paraguay, la inflación fue de 8,1% en el año 2022 y 6,8% en el año 2021.                                                                                                                                                    Información comparativa:
Los estados financieros al 30 de setiembre de 2023 y la información complementaria relacionada con ellos, se presentan en forma comparativa con los correspondientes estados e información complementaria del año finalizado el 31 de diciembre de 2022. Algunas cifras correspondientes al año terminado el 31 de diciembre de 2022 fueron reclasificadas en los presentes estados financieros con el fin de hacerlas comparables con las del año actual y facilitar su comparación.</t>
  </si>
  <si>
    <t>La preparación de los estados financieros requiere por parte de la Dirección de la Sociedad la aplicación de estimaciones contables relevantes y la realización de juicios y supuestos en el proceso de aplicación de las políticas contables que afectan a los importes de activos y pasivos registrados y los activos y pasivos contingentes revelados a la fecha de la emisión de los presentes estados financieros, como así también los ingresos y gastos registrados en el año. Los resultados reales pueden diferir de las estimaciones realizadas.
A pesar de que las estimaciones realizadas por la Dirección de la Sociedad se han calculado en función de la mejor información disponible al 30 de setiembre de 2023, es posible que acontecimientos que puedan tener lugar en el futuro obliguen a su modificación en los próximos años. El efecto en los estados financieros de las modificaciones que, en su caso, se derivasen de los ajustes a efectuar durante los próximos años, es reconocido en el año en que la estimación es modificada y en los años futuros afectados, o sea, se registra en forma prospectiva.                                                                                                                                                                                                                                                    Las áreas más significativas en las que la Dirección de la Sociedad ha realizado estimaciones de incertidumbre y juicios críticos en la aplicación de políticas contables y que tienen un mayor efecto sobre el importe reconocido en los estados financieros conciernen las previsiones para deudores incobrables, los valores residuales y las depreciaciones de las propiedades, planta y equipo y el cargo por impuesto a la renta. Los resultados reales futuros pueden diferir de las estimaciones y evaluaciones realizadas a la fecha de preparación de los presentes estados financieros.</t>
  </si>
  <si>
    <t>30 de setiembre de 2023</t>
  </si>
  <si>
    <t>Al 31 de diciembre de 2022 se constituyeron previsiones. En los Art. 60 y 61 del decreto 3182/19 se describen las condiciones de deducibilidad de las previsiones.</t>
  </si>
  <si>
    <t>CUADRO DE BIENES DE USO, INTANGIBLES Y AMORTIZACIONES AL 30 DE SETIEMBRE DE 2023</t>
  </si>
  <si>
    <t>Set-2023               Dic-2022</t>
  </si>
  <si>
    <t>Banco Itaú capital U$S CP</t>
  </si>
  <si>
    <t>Estado de Resultado al 30 de setiembre de 2023</t>
  </si>
  <si>
    <t>Estados Financieros al 30 de setiembre de 2023</t>
  </si>
  <si>
    <t>Flujo de efectivo al 30/09/2023</t>
  </si>
  <si>
    <t>4.01.04.01.006</t>
  </si>
  <si>
    <t>Ventas servicios entrega</t>
  </si>
  <si>
    <t>5.01.03.04.003</t>
  </si>
  <si>
    <t>6.01.01.09.005</t>
  </si>
  <si>
    <t>Estudios de Mercado</t>
  </si>
  <si>
    <t>6.01.01.13.001</t>
  </si>
  <si>
    <t>Acuerdos comerciales por producto</t>
  </si>
  <si>
    <t xml:space="preserve"> Set-2023</t>
  </si>
  <si>
    <t>Estados Financieros al 30 de Setiembre de 2023</t>
  </si>
  <si>
    <t>Estado de Flujos de Efectivo por el año terminado el 30 de setiembre de 2023</t>
  </si>
  <si>
    <t>30.09.2023</t>
  </si>
  <si>
    <t>Estado  de  Evolución  del  Patrimonio  por  el  ejercicio  anual  terminado  el   30 de setiembre de 2023</t>
  </si>
  <si>
    <t>(**) Por Escritura Nro. 497 de fecha 18/10/2021 se hace transcripción del Acta de Asamblea General Extraordinaria y Ordinaria de Accionistas, Acta Nro. 31 de fecha 13/09/2021 Modificación de Estatutos Sociales por aumento de capital donde se resolvió aumentar el capital social de la empresa en la suma de Gs. 90.000.000.000, elevando de tal forma el capital social a Gs. 200.000.0000.000. El acta Nro. 32 de fecha 13/09/2021 confirma la emisión de acciones, por la suma de Gs. 90.000.000.000 y que serán integrados en su totalidad con los resultados acumulados de la sociedad al 31.12.2021. El Anexo y las notas 1 a 21 que se acompañan forman parte integral de los estados financieros.</t>
  </si>
  <si>
    <t>Saldo al 30 de setiembre de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</si>
</sst>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41" formatCode="_ * #,##0_ ;_ * \-#,##0_ ;_ * &quot;-&quot;_ ;_ @_ "/>
    <numFmt numFmtId="43" formatCode="_ * #,##0.00_ ;_ * \-#,##0.00_ ;_ * &quot;-&quot;??_ ;_ @_ "/>
    <numFmt numFmtId="164" formatCode="_-* #,##0_-;\-* #,##0_-;_-* &quot;-&quot;_-;_-@_-"/>
    <numFmt numFmtId="165" formatCode="_-* #,##0.00_-;\-* #,##0.00_-;_-* &quot;-&quot;??_-;_-@_-"/>
    <numFmt numFmtId="166" formatCode="_ * #,##0_ ;_ * \-#,##0_ ;_ * &quot;-&quot;??_ ;_ @_ "/>
    <numFmt numFmtId="167" formatCode="0.0%"/>
    <numFmt numFmtId="168" formatCode="General_)"/>
    <numFmt numFmtId="169" formatCode="_(* #,##0.00_);_(* \(#,##0.00\);_(* &quot;-&quot;??_);_(@_)"/>
    <numFmt numFmtId="170" formatCode="#,##0_);\(#,##0\);\ &quot;-&quot;_)"/>
    <numFmt numFmtId="171" formatCode="_(* #,##0_);_(* \(#,##0\);_(* &quot;-&quot;_);_(@_)"/>
    <numFmt numFmtId="172" formatCode="_(* #,##0_);_(* \(#,##0\);_(* &quot;-&quot;??_);_(@_)"/>
    <numFmt numFmtId="173" formatCode="#,##0_ ;\-#,##0\ "/>
    <numFmt numFmtId="174" formatCode="#,##0,;\-#,##0,"/>
    <numFmt numFmtId="175" formatCode="_-* #,##0_-;\(#,##0\)_-;_-* &quot;&quot;_-;_-@_-"/>
    <numFmt numFmtId="176" formatCode="_ [$€]\ * #,##0.00_ ;_ [$€]\ * \-#,##0.00_ ;_ [$€]\ * &quot;-&quot;??_ ;_ @_ "/>
    <numFmt numFmtId="177" formatCode="_(* #,##0.00_);_(* \(#,##0.00\);_(* &quot;-&quot;_);_(@_)"/>
    <numFmt numFmtId="178" formatCode="[$-409]mmm\-yy;@"/>
    <numFmt numFmtId="179" formatCode="_-* #,##0_-;\-* #,##0_-;_-* &quot;-&quot;??_-;_-@_-"/>
    <numFmt numFmtId="180" formatCode="_-* #,##0.00_-;\-* #,##0.00_-;_-* &quot;-&quot;_-;_-@_-"/>
    <numFmt numFmtId="181" formatCode="_ * #,##0.00_ ;_ * \-#,##0.00_ ;_ * &quot;-&quot;_ ;_ @_ "/>
    <numFmt numFmtId="182" formatCode="_(* #,##0.000000_);_(* \(#,##0.000000\);_(* &quot;-&quot;??_);_(@_)"/>
  </numFmts>
  <fonts count="92" x14ac:knownFonts="1">
    <font>
      <sz val="12"/>
      <color theme="1"/>
      <name val="Calibri"/>
      <family val="2"/>
      <scheme val="minor"/>
    </font>
    <font>
      <sz val="11"/>
      <color theme="1"/>
      <name val="Calibri"/>
      <family val="2"/>
      <scheme val="minor"/>
    </font>
    <font>
      <sz val="11"/>
      <color theme="1"/>
      <name val="Calibri"/>
      <family val="2"/>
      <scheme val="minor"/>
    </font>
    <font>
      <sz val="12"/>
      <color theme="1"/>
      <name val="Calibri"/>
      <family val="2"/>
      <scheme val="minor"/>
    </font>
    <font>
      <sz val="10"/>
      <name val="Arial"/>
      <family val="2"/>
    </font>
    <font>
      <sz val="10"/>
      <name val="Times New Roman"/>
      <family val="1"/>
    </font>
    <font>
      <b/>
      <i/>
      <sz val="10"/>
      <name val="Times New Roman"/>
      <family val="1"/>
    </font>
    <font>
      <i/>
      <sz val="10"/>
      <name val="Times New Roman"/>
      <family val="1"/>
    </font>
    <font>
      <b/>
      <sz val="10"/>
      <name val="Times New Roman"/>
      <family val="1"/>
    </font>
    <font>
      <sz val="11"/>
      <color theme="1"/>
      <name val="Calibri"/>
      <family val="2"/>
      <scheme val="minor"/>
    </font>
    <font>
      <u/>
      <sz val="12"/>
      <color theme="10"/>
      <name val="Calibri"/>
      <family val="2"/>
      <scheme val="minor"/>
    </font>
    <font>
      <sz val="10"/>
      <color rgb="FF000000"/>
      <name val="Times New Roman"/>
      <family val="1"/>
    </font>
    <font>
      <b/>
      <sz val="10"/>
      <color rgb="FF000000"/>
      <name val="Times New Roman"/>
      <family val="1"/>
    </font>
    <font>
      <b/>
      <sz val="10"/>
      <color rgb="FFFFFFFF"/>
      <name val="Times New Roman"/>
      <family val="1"/>
    </font>
    <font>
      <u/>
      <sz val="11"/>
      <color rgb="FF0563C1"/>
      <name val="Calibri"/>
      <family val="2"/>
    </font>
    <font>
      <u/>
      <sz val="10"/>
      <color rgb="FF0563C1"/>
      <name val="Times New Roman"/>
      <family val="1"/>
    </font>
    <font>
      <sz val="11"/>
      <color rgb="FF000000"/>
      <name val="Calibri"/>
      <family val="2"/>
    </font>
    <font>
      <b/>
      <sz val="11"/>
      <color rgb="FF000000"/>
      <name val="Times New Roman"/>
      <family val="1"/>
    </font>
    <font>
      <sz val="11"/>
      <color rgb="FF000000"/>
      <name val="Times New Roman"/>
      <family val="1"/>
    </font>
    <font>
      <b/>
      <sz val="11"/>
      <color rgb="FFFFFFFF"/>
      <name val="Times New Roman"/>
      <family val="1"/>
    </font>
    <font>
      <b/>
      <sz val="11"/>
      <color rgb="FF002060"/>
      <name val="Times New Roman"/>
      <family val="1"/>
    </font>
    <font>
      <b/>
      <sz val="11"/>
      <name val="Times New Roman"/>
      <family val="1"/>
    </font>
    <font>
      <sz val="11"/>
      <name val="Times New Roman"/>
      <family val="1"/>
    </font>
    <font>
      <sz val="10"/>
      <color theme="1"/>
      <name val="Times New Roman"/>
      <family val="2"/>
    </font>
    <font>
      <b/>
      <i/>
      <sz val="10"/>
      <color rgb="FF000000"/>
      <name val="Times New Roman"/>
      <family val="1"/>
    </font>
    <font>
      <sz val="12"/>
      <color theme="1"/>
      <name val="Calibri"/>
      <family val="2"/>
    </font>
    <font>
      <i/>
      <sz val="10"/>
      <color rgb="FF000000"/>
      <name val="Times New Roman"/>
      <family val="1"/>
    </font>
    <font>
      <b/>
      <sz val="16"/>
      <color rgb="FF000000"/>
      <name val="Times New Roman"/>
      <family val="1"/>
    </font>
    <font>
      <b/>
      <sz val="14"/>
      <color rgb="FF000000"/>
      <name val="Times New Roman"/>
      <family val="1"/>
    </font>
    <font>
      <b/>
      <sz val="12"/>
      <color rgb="FF000000"/>
      <name val="Times New Roman"/>
      <family val="1"/>
    </font>
    <font>
      <sz val="12"/>
      <color rgb="FFFFFFFF"/>
      <name val="Calibri"/>
      <family val="2"/>
    </font>
    <font>
      <b/>
      <u/>
      <sz val="10"/>
      <color rgb="FFFFFFFF"/>
      <name val="Times New Roman"/>
      <family val="1"/>
    </font>
    <font>
      <b/>
      <u/>
      <sz val="10"/>
      <color rgb="FF000000"/>
      <name val="Times New Roman"/>
      <family val="1"/>
    </font>
    <font>
      <sz val="10"/>
      <color rgb="FFFFFFFF"/>
      <name val="Times New Roman"/>
      <family val="1"/>
    </font>
    <font>
      <b/>
      <sz val="10"/>
      <color rgb="FFFF0000"/>
      <name val="Times New Roman"/>
      <family val="1"/>
    </font>
    <font>
      <sz val="10"/>
      <name val="Helvetica"/>
      <family val="2"/>
    </font>
    <font>
      <b/>
      <sz val="14"/>
      <color rgb="FFFFFFFF"/>
      <name val="Times New Roman"/>
      <family val="1"/>
    </font>
    <font>
      <sz val="11"/>
      <color theme="1"/>
      <name val="Calibri"/>
      <family val="2"/>
    </font>
    <font>
      <sz val="9"/>
      <name val="Arial"/>
      <family val="2"/>
    </font>
    <font>
      <sz val="11"/>
      <color rgb="FF548235"/>
      <name val="Calibri"/>
      <family val="2"/>
    </font>
    <font>
      <sz val="11"/>
      <color indexed="8"/>
      <name val="Calibri"/>
      <family val="2"/>
    </font>
    <font>
      <sz val="11"/>
      <color rgb="FFFFFFFF"/>
      <name val="Times New Roman"/>
      <family val="1"/>
    </font>
    <font>
      <b/>
      <i/>
      <sz val="10"/>
      <color rgb="FF000000"/>
      <name val="Times New Roman"/>
      <family val="2"/>
    </font>
    <font>
      <sz val="10"/>
      <color theme="1"/>
      <name val="Arial"/>
      <family val="2"/>
    </font>
    <font>
      <sz val="11"/>
      <color rgb="FFFFFFFF"/>
      <name val="Calibri"/>
      <family val="2"/>
    </font>
    <font>
      <sz val="12"/>
      <color rgb="FF000000"/>
      <name val="Times New Roman"/>
      <family val="1"/>
    </font>
    <font>
      <i/>
      <sz val="11"/>
      <color rgb="FF000000"/>
      <name val="Times New Roman"/>
      <family val="1"/>
    </font>
    <font>
      <b/>
      <sz val="10"/>
      <color rgb="FF3366FF"/>
      <name val="Times New Roman"/>
      <family val="1"/>
    </font>
    <font>
      <u/>
      <sz val="11"/>
      <color rgb="FF0563C1"/>
      <name val="Times New Roman"/>
      <family val="1"/>
    </font>
    <font>
      <b/>
      <sz val="12"/>
      <name val="Times New Roman"/>
      <family val="1"/>
    </font>
    <font>
      <b/>
      <sz val="11"/>
      <color rgb="FF000000"/>
      <name val="Calibri"/>
      <family val="2"/>
    </font>
    <font>
      <b/>
      <sz val="10"/>
      <color rgb="FF000000"/>
      <name val="Arial"/>
      <family val="2"/>
    </font>
    <font>
      <sz val="11"/>
      <color rgb="FFFF0000"/>
      <name val="Calibri"/>
      <family val="2"/>
    </font>
    <font>
      <b/>
      <sz val="12"/>
      <color rgb="FFFFFFFF"/>
      <name val="Times New Roman"/>
      <family val="1"/>
    </font>
    <font>
      <b/>
      <sz val="9"/>
      <color rgb="FFFF0000"/>
      <name val="Times New Roman"/>
      <family val="1"/>
    </font>
    <font>
      <sz val="10"/>
      <name val="Verdana"/>
      <family val="2"/>
    </font>
    <font>
      <b/>
      <sz val="10"/>
      <color rgb="FFFFFFFF"/>
      <name val="Arial"/>
      <family val="2"/>
    </font>
    <font>
      <b/>
      <sz val="11"/>
      <color indexed="8"/>
      <name val="Times New Roman"/>
      <family val="1"/>
    </font>
    <font>
      <b/>
      <sz val="11"/>
      <color indexed="9"/>
      <name val="Times New Roman"/>
      <family val="1"/>
    </font>
    <font>
      <sz val="10"/>
      <color theme="1"/>
      <name val="Times New Roman"/>
      <family val="1"/>
    </font>
    <font>
      <b/>
      <sz val="11"/>
      <color theme="0"/>
      <name val="Times New Roman"/>
      <family val="1"/>
    </font>
    <font>
      <b/>
      <sz val="10"/>
      <color theme="1"/>
      <name val="Times New Roman"/>
      <family val="1"/>
    </font>
    <font>
      <u/>
      <sz val="11"/>
      <name val="Calibri"/>
      <family val="2"/>
    </font>
    <font>
      <b/>
      <sz val="10"/>
      <color indexed="8"/>
      <name val="Times New Roman"/>
      <family val="1"/>
    </font>
    <font>
      <sz val="11"/>
      <color theme="1"/>
      <name val="Times New Roman"/>
      <family val="1"/>
    </font>
    <font>
      <sz val="10"/>
      <color theme="0"/>
      <name val="Times New Roman"/>
      <family val="1"/>
    </font>
    <font>
      <sz val="10"/>
      <color indexed="8"/>
      <name val="Times New Roman"/>
      <family val="1"/>
    </font>
    <font>
      <b/>
      <sz val="10"/>
      <color theme="9" tint="-0.249977111117893"/>
      <name val="Times New Roman"/>
      <family val="1"/>
    </font>
    <font>
      <b/>
      <sz val="12"/>
      <color indexed="8"/>
      <name val="Times New Roman"/>
      <family val="1"/>
    </font>
    <font>
      <b/>
      <u/>
      <sz val="10"/>
      <color indexed="8"/>
      <name val="Times New Roman"/>
      <family val="1"/>
    </font>
    <font>
      <sz val="8"/>
      <color theme="1"/>
      <name val="Calibri"/>
      <family val="2"/>
      <scheme val="minor"/>
    </font>
    <font>
      <sz val="8"/>
      <color theme="1"/>
      <name val="Arial"/>
      <family val="2"/>
    </font>
    <font>
      <sz val="8"/>
      <color theme="1"/>
      <name val="Calibri"/>
      <family val="2"/>
      <charset val="238"/>
      <scheme val="minor"/>
    </font>
    <font>
      <sz val="8"/>
      <color rgb="FFFF0000"/>
      <name val="Calibri"/>
      <family val="2"/>
      <scheme val="minor"/>
    </font>
    <font>
      <b/>
      <i/>
      <u/>
      <sz val="8"/>
      <color theme="1"/>
      <name val="Calibri"/>
      <family val="2"/>
      <scheme val="minor"/>
    </font>
    <font>
      <b/>
      <sz val="8"/>
      <color theme="1"/>
      <name val="Calibri"/>
      <family val="2"/>
      <scheme val="minor"/>
    </font>
    <font>
      <b/>
      <sz val="8"/>
      <color rgb="FF000000"/>
      <name val="Arial"/>
      <family val="2"/>
    </font>
    <font>
      <b/>
      <i/>
      <sz val="8"/>
      <color theme="1"/>
      <name val="Calibri"/>
      <family val="2"/>
      <scheme val="minor"/>
    </font>
    <font>
      <sz val="10"/>
      <name val="Calibri"/>
      <family val="2"/>
      <scheme val="minor"/>
    </font>
    <font>
      <b/>
      <sz val="11"/>
      <color rgb="FF0000FF"/>
      <name val="Calibri"/>
      <family val="2"/>
      <scheme val="minor"/>
    </font>
    <font>
      <sz val="12"/>
      <name val="Times New Roman"/>
      <family val="1"/>
    </font>
    <font>
      <b/>
      <sz val="10"/>
      <color indexed="10"/>
      <name val="Calibri"/>
      <family val="2"/>
      <scheme val="minor"/>
    </font>
    <font>
      <b/>
      <sz val="10"/>
      <name val="Calibri"/>
      <family val="2"/>
      <scheme val="minor"/>
    </font>
    <font>
      <b/>
      <sz val="10"/>
      <color theme="0"/>
      <name val="Calibri"/>
      <family val="2"/>
      <scheme val="minor"/>
    </font>
    <font>
      <b/>
      <u/>
      <sz val="10"/>
      <color theme="0"/>
      <name val="Calibri"/>
      <family val="2"/>
      <scheme val="minor"/>
    </font>
    <font>
      <sz val="10"/>
      <color rgb="FFFF0000"/>
      <name val="Calibri"/>
      <family val="2"/>
      <scheme val="minor"/>
    </font>
    <font>
      <b/>
      <sz val="10"/>
      <color rgb="FFFF0000"/>
      <name val="Calibri"/>
      <family val="2"/>
      <scheme val="minor"/>
    </font>
    <font>
      <b/>
      <u/>
      <sz val="10"/>
      <name val="Calibri"/>
      <family val="2"/>
      <scheme val="minor"/>
    </font>
    <font>
      <sz val="10"/>
      <color rgb="FF000000"/>
      <name val="Calibri"/>
      <family val="2"/>
      <scheme val="minor"/>
    </font>
    <font>
      <sz val="8"/>
      <color rgb="FFFF0000"/>
      <name val="Calibri"/>
      <family val="2"/>
      <charset val="238"/>
      <scheme val="minor"/>
    </font>
    <font>
      <sz val="8"/>
      <name val="Calibri"/>
      <family val="2"/>
      <charset val="238"/>
      <scheme val="minor"/>
    </font>
    <font>
      <sz val="8"/>
      <name val="Calibri"/>
      <family val="2"/>
      <scheme val="minor"/>
    </font>
  </fonts>
  <fills count="27">
    <fill>
      <patternFill patternType="none"/>
    </fill>
    <fill>
      <patternFill patternType="gray125"/>
    </fill>
    <fill>
      <patternFill patternType="lightGray">
        <fgColor rgb="FF000000"/>
        <bgColor rgb="FFCCCCCC"/>
      </patternFill>
    </fill>
    <fill>
      <patternFill patternType="solid">
        <fgColor rgb="FF305496"/>
        <bgColor rgb="FF000000"/>
      </patternFill>
    </fill>
    <fill>
      <patternFill patternType="solid">
        <fgColor rgb="FFFFFFFF"/>
        <bgColor rgb="FF000000"/>
      </patternFill>
    </fill>
    <fill>
      <patternFill patternType="solid">
        <fgColor rgb="FF002060"/>
        <bgColor rgb="FF000000"/>
      </patternFill>
    </fill>
    <fill>
      <patternFill patternType="solid">
        <fgColor rgb="FF203764"/>
        <bgColor rgb="FF000000"/>
      </patternFill>
    </fill>
    <fill>
      <patternFill patternType="solid">
        <fgColor theme="0"/>
        <bgColor indexed="64"/>
      </patternFill>
    </fill>
    <fill>
      <patternFill patternType="solid">
        <fgColor rgb="FF004080"/>
        <bgColor rgb="FF000000"/>
      </patternFill>
    </fill>
    <fill>
      <patternFill patternType="solid">
        <fgColor rgb="FFBFBFBF"/>
        <bgColor rgb="FFFFFFFF"/>
      </patternFill>
    </fill>
    <fill>
      <patternFill patternType="solid">
        <fgColor rgb="FFFFFFFF"/>
        <bgColor rgb="FFFFFFFF"/>
      </patternFill>
    </fill>
    <fill>
      <patternFill patternType="solid">
        <fgColor theme="4" tint="-0.499984740745262"/>
        <bgColor indexed="64"/>
      </patternFill>
    </fill>
    <fill>
      <patternFill patternType="solid">
        <fgColor indexed="22"/>
        <bgColor indexed="64"/>
      </patternFill>
    </fill>
    <fill>
      <patternFill patternType="solid">
        <fgColor rgb="FFFFFFFF"/>
        <bgColor indexed="64"/>
      </patternFill>
    </fill>
    <fill>
      <patternFill patternType="solid">
        <fgColor rgb="FFFFFF00"/>
        <bgColor indexed="64"/>
      </patternFill>
    </fill>
    <fill>
      <patternFill patternType="solid">
        <fgColor indexed="65"/>
        <bgColor indexed="64"/>
      </patternFill>
    </fill>
    <fill>
      <patternFill patternType="solid">
        <fgColor indexed="9"/>
        <bgColor indexed="64"/>
      </patternFill>
    </fill>
    <fill>
      <patternFill patternType="solid">
        <fgColor theme="6" tint="-0.249977111117893"/>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9" tint="0.39997558519241921"/>
        <bgColor indexed="64"/>
      </patternFill>
    </fill>
    <fill>
      <patternFill patternType="solid">
        <fgColor theme="8" tint="0.59999389629810485"/>
        <bgColor indexed="64"/>
      </patternFill>
    </fill>
    <fill>
      <patternFill patternType="solid">
        <fgColor theme="6" tint="0.79998168889431442"/>
        <bgColor indexed="64"/>
      </patternFill>
    </fill>
    <fill>
      <patternFill patternType="solid">
        <fgColor theme="7" tint="0.39997558519241921"/>
        <bgColor indexed="64"/>
      </patternFill>
    </fill>
  </fills>
  <borders count="32">
    <border>
      <left/>
      <right/>
      <top/>
      <bottom/>
      <diagonal/>
    </border>
    <border>
      <left/>
      <right/>
      <top style="thick">
        <color rgb="FF333F4F"/>
      </top>
      <bottom/>
      <diagonal/>
    </border>
    <border>
      <left/>
      <right/>
      <top/>
      <bottom style="thin">
        <color auto="1"/>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top style="thin">
        <color indexed="64"/>
      </top>
      <bottom/>
      <diagonal/>
    </border>
    <border>
      <left/>
      <right style="thin">
        <color indexed="64"/>
      </right>
      <top style="thin">
        <color indexed="64"/>
      </top>
      <bottom/>
      <diagonal/>
    </border>
    <border>
      <left style="thin">
        <color auto="1"/>
      </left>
      <right style="thin">
        <color auto="1"/>
      </right>
      <top style="thin">
        <color auto="1"/>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style="thin">
        <color auto="1"/>
      </top>
      <bottom style="thin">
        <color auto="1"/>
      </bottom>
      <diagonal/>
    </border>
    <border>
      <left/>
      <right/>
      <top/>
      <bottom style="double">
        <color auto="1"/>
      </bottom>
      <diagonal/>
    </border>
    <border>
      <left/>
      <right/>
      <top style="thin">
        <color indexed="64"/>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s>
  <cellStyleXfs count="58">
    <xf numFmtId="0" fontId="0" fillId="0" borderId="0"/>
    <xf numFmtId="165" fontId="3" fillId="0" borderId="0" applyFont="0" applyFill="0" applyBorder="0" applyAlignment="0" applyProtection="0"/>
    <xf numFmtId="164" fontId="3" fillId="0" borderId="0" applyFont="0" applyFill="0" applyBorder="0" applyAlignment="0" applyProtection="0"/>
    <xf numFmtId="9" fontId="3" fillId="0" borderId="0" applyFont="0" applyFill="0" applyBorder="0" applyAlignment="0" applyProtection="0"/>
    <xf numFmtId="0" fontId="4" fillId="0" borderId="0"/>
    <xf numFmtId="0" fontId="9" fillId="0" borderId="0"/>
    <xf numFmtId="43" fontId="4" fillId="0" borderId="0" applyFont="0" applyFill="0" applyBorder="0" applyAlignment="0" applyProtection="0"/>
    <xf numFmtId="0" fontId="10" fillId="0" borderId="0" applyNumberFormat="0" applyFill="0" applyBorder="0" applyAlignment="0" applyProtection="0"/>
    <xf numFmtId="0" fontId="9" fillId="0" borderId="0"/>
    <xf numFmtId="168" fontId="4" fillId="0" borderId="0"/>
    <xf numFmtId="169" fontId="9" fillId="0" borderId="0" applyFont="0" applyFill="0" applyBorder="0" applyAlignment="0" applyProtection="0"/>
    <xf numFmtId="0" fontId="16" fillId="0" borderId="0" applyNumberFormat="0" applyFill="0" applyBorder="0" applyAlignment="0" applyProtection="0"/>
    <xf numFmtId="0" fontId="9" fillId="0" borderId="0"/>
    <xf numFmtId="0" fontId="23" fillId="0" borderId="0"/>
    <xf numFmtId="0" fontId="4" fillId="0" borderId="0"/>
    <xf numFmtId="0" fontId="9" fillId="0" borderId="0"/>
    <xf numFmtId="0" fontId="16" fillId="0" borderId="0" applyNumberFormat="0" applyFill="0" applyBorder="0" applyAlignment="0" applyProtection="0"/>
    <xf numFmtId="0" fontId="4" fillId="0" borderId="0" applyNumberFormat="0" applyFill="0" applyBorder="0" applyAlignment="0" applyProtection="0"/>
    <xf numFmtId="0" fontId="4" fillId="0" borderId="0"/>
    <xf numFmtId="0" fontId="4" fillId="0" borderId="0"/>
    <xf numFmtId="0" fontId="4" fillId="0" borderId="0"/>
    <xf numFmtId="43" fontId="40" fillId="0" borderId="0" applyFont="0" applyFill="0" applyBorder="0" applyAlignment="0" applyProtection="0"/>
    <xf numFmtId="41" fontId="40" fillId="0" borderId="0" applyFont="0" applyFill="0" applyBorder="0" applyAlignment="0" applyProtection="0"/>
    <xf numFmtId="0" fontId="23" fillId="0" borderId="0"/>
    <xf numFmtId="0" fontId="4" fillId="0" borderId="0"/>
    <xf numFmtId="41" fontId="43" fillId="0" borderId="0" applyFont="0" applyFill="0" applyBorder="0" applyAlignment="0" applyProtection="0"/>
    <xf numFmtId="0" fontId="4" fillId="0" borderId="0"/>
    <xf numFmtId="0" fontId="9" fillId="0" borderId="0" applyNumberFormat="0" applyFill="0" applyBorder="0" applyAlignment="0" applyProtection="0"/>
    <xf numFmtId="0" fontId="16" fillId="0" borderId="0" applyNumberFormat="0" applyFill="0" applyBorder="0" applyAlignment="0" applyProtection="0"/>
    <xf numFmtId="9" fontId="40" fillId="0" borderId="0" applyFont="0" applyFill="0" applyBorder="0" applyAlignment="0" applyProtection="0"/>
    <xf numFmtId="43" fontId="9" fillId="0" borderId="0" applyFont="0" applyFill="0" applyBorder="0" applyAlignment="0" applyProtection="0"/>
    <xf numFmtId="41" fontId="9" fillId="0" borderId="0" applyFont="0" applyFill="0" applyBorder="0" applyAlignment="0" applyProtection="0"/>
    <xf numFmtId="169" fontId="23" fillId="0" borderId="0" applyFont="0" applyFill="0" applyBorder="0" applyAlignment="0" applyProtection="0"/>
    <xf numFmtId="0" fontId="9" fillId="0" borderId="0" applyNumberFormat="0" applyFill="0" applyBorder="0" applyAlignment="0" applyProtection="0"/>
    <xf numFmtId="0" fontId="16" fillId="0" borderId="0" applyNumberFormat="0" applyFill="0" applyBorder="0" applyAlignment="0" applyProtection="0"/>
    <xf numFmtId="169" fontId="9" fillId="0" borderId="0" applyFont="0" applyFill="0" applyBorder="0" applyAlignment="0" applyProtection="0"/>
    <xf numFmtId="176" fontId="35" fillId="0" borderId="0" applyFont="0" applyFill="0" applyBorder="0" applyAlignment="0" applyProtection="0"/>
    <xf numFmtId="0" fontId="4" fillId="0" borderId="0"/>
    <xf numFmtId="41" fontId="40" fillId="0" borderId="0" applyFont="0" applyFill="0" applyBorder="0" applyAlignment="0" applyProtection="0"/>
    <xf numFmtId="0" fontId="55" fillId="0" borderId="0"/>
    <xf numFmtId="43" fontId="9" fillId="0" borderId="0" applyFont="0" applyFill="0" applyBorder="0" applyAlignment="0" applyProtection="0"/>
    <xf numFmtId="0" fontId="55" fillId="0" borderId="0"/>
    <xf numFmtId="41" fontId="2" fillId="0" borderId="0" applyFont="0" applyFill="0" applyBorder="0" applyAlignment="0" applyProtection="0"/>
    <xf numFmtId="0" fontId="4" fillId="0" borderId="0"/>
    <xf numFmtId="169" fontId="1" fillId="0" borderId="0" applyFont="0" applyFill="0" applyBorder="0" applyAlignment="0" applyProtection="0"/>
    <xf numFmtId="0" fontId="4" fillId="0" borderId="0"/>
    <xf numFmtId="169" fontId="80" fillId="0" borderId="0" applyFont="0" applyFill="0" applyBorder="0" applyAlignment="0" applyProtection="0"/>
    <xf numFmtId="0" fontId="4" fillId="0" borderId="0"/>
    <xf numFmtId="0" fontId="4" fillId="0" borderId="0"/>
    <xf numFmtId="169" fontId="4" fillId="0" borderId="0" applyFont="0" applyFill="0" applyBorder="0" applyAlignment="0" applyProtection="0"/>
    <xf numFmtId="0" fontId="4" fillId="0" borderId="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0" fontId="80" fillId="0" borderId="0">
      <alignment vertical="top"/>
    </xf>
    <xf numFmtId="0" fontId="1" fillId="0" borderId="0"/>
  </cellStyleXfs>
  <cellXfs count="650">
    <xf numFmtId="0" fontId="0" fillId="0" borderId="0" xfId="0"/>
    <xf numFmtId="0" fontId="5" fillId="0" borderId="0" xfId="4" applyFont="1"/>
    <xf numFmtId="0" fontId="5" fillId="0" borderId="1" xfId="4" applyFont="1" applyBorder="1"/>
    <xf numFmtId="0" fontId="6" fillId="0" borderId="0" xfId="4" applyFont="1" applyAlignment="1">
      <alignment vertical="center" wrapText="1"/>
    </xf>
    <xf numFmtId="0" fontId="5" fillId="0" borderId="0" xfId="4" applyFont="1" applyAlignment="1">
      <alignment horizontal="right" vertical="center"/>
    </xf>
    <xf numFmtId="0" fontId="5" fillId="0" borderId="0" xfId="4" applyFont="1" applyAlignment="1">
      <alignment horizontal="justify" vertical="center"/>
    </xf>
    <xf numFmtId="0" fontId="7" fillId="0" borderId="0" xfId="4" applyFont="1" applyAlignment="1">
      <alignment vertical="center" wrapText="1"/>
    </xf>
    <xf numFmtId="0" fontId="7" fillId="0" borderId="0" xfId="4" applyFont="1" applyAlignment="1">
      <alignment horizontal="justify" vertical="center"/>
    </xf>
    <xf numFmtId="0" fontId="6" fillId="0" borderId="3" xfId="4" applyFont="1" applyBorder="1" applyAlignment="1">
      <alignment vertical="center"/>
    </xf>
    <xf numFmtId="0" fontId="7" fillId="0" borderId="3" xfId="4" applyFont="1" applyBorder="1" applyAlignment="1">
      <alignment vertical="center"/>
    </xf>
    <xf numFmtId="0" fontId="5" fillId="0" borderId="3" xfId="4" applyFont="1" applyBorder="1"/>
    <xf numFmtId="0" fontId="6" fillId="0" borderId="0" xfId="4" applyFont="1" applyAlignment="1">
      <alignment vertical="center"/>
    </xf>
    <xf numFmtId="0" fontId="6" fillId="0" borderId="0" xfId="4" applyFont="1" applyAlignment="1">
      <alignment horizontal="left" vertical="center" wrapText="1"/>
    </xf>
    <xf numFmtId="0" fontId="8" fillId="2" borderId="4" xfId="4" applyFont="1" applyFill="1" applyBorder="1" applyAlignment="1">
      <alignment horizontal="center" vertical="center" wrapText="1"/>
    </xf>
    <xf numFmtId="3" fontId="5" fillId="0" borderId="4" xfId="4" applyNumberFormat="1" applyFont="1" applyBorder="1" applyAlignment="1">
      <alignment horizontal="left" vertical="center" wrapText="1"/>
    </xf>
    <xf numFmtId="0" fontId="5" fillId="0" borderId="0" xfId="5" applyFont="1" applyAlignment="1">
      <alignment horizontal="justify" vertical="top" wrapText="1"/>
    </xf>
    <xf numFmtId="0" fontId="5" fillId="0" borderId="0" xfId="5" applyFont="1" applyAlignment="1">
      <alignment horizontal="left" vertical="top"/>
    </xf>
    <xf numFmtId="0" fontId="8" fillId="2" borderId="5" xfId="4" applyFont="1" applyFill="1" applyBorder="1" applyAlignment="1">
      <alignment horizontal="center" vertical="center" wrapText="1"/>
    </xf>
    <xf numFmtId="3" fontId="5" fillId="0" borderId="6" xfId="4" applyNumberFormat="1" applyFont="1" applyBorder="1" applyAlignment="1">
      <alignment horizontal="center" vertical="center" wrapText="1"/>
    </xf>
    <xf numFmtId="0" fontId="5" fillId="0" borderId="7" xfId="4" applyFont="1" applyBorder="1" applyAlignment="1">
      <alignment horizontal="center" vertical="center" wrapText="1"/>
    </xf>
    <xf numFmtId="3" fontId="5" fillId="0" borderId="7" xfId="4" applyNumberFormat="1" applyFont="1" applyBorder="1" applyAlignment="1">
      <alignment horizontal="center" vertical="center" wrapText="1"/>
    </xf>
    <xf numFmtId="166" fontId="5" fillId="0" borderId="7" xfId="6" applyNumberFormat="1" applyFont="1" applyFill="1" applyBorder="1" applyAlignment="1">
      <alignment horizontal="right" vertical="center" wrapText="1"/>
    </xf>
    <xf numFmtId="3" fontId="8" fillId="0" borderId="6" xfId="4" applyNumberFormat="1" applyFont="1" applyBorder="1" applyAlignment="1">
      <alignment horizontal="center" vertical="center" wrapText="1"/>
    </xf>
    <xf numFmtId="166" fontId="8" fillId="0" borderId="7" xfId="4" applyNumberFormat="1" applyFont="1" applyBorder="1" applyAlignment="1">
      <alignment horizontal="right" vertical="center" wrapText="1"/>
    </xf>
    <xf numFmtId="167" fontId="5" fillId="0" borderId="7" xfId="6" applyNumberFormat="1" applyFont="1" applyFill="1" applyBorder="1" applyAlignment="1">
      <alignment horizontal="right" vertical="center" wrapText="1"/>
    </xf>
    <xf numFmtId="0" fontId="11" fillId="0" borderId="0" xfId="8" applyFont="1"/>
    <xf numFmtId="0" fontId="12" fillId="0" borderId="0" xfId="8" applyFont="1" applyAlignment="1">
      <alignment horizontal="right"/>
    </xf>
    <xf numFmtId="0" fontId="13" fillId="3" borderId="0" xfId="8" applyFont="1" applyFill="1"/>
    <xf numFmtId="0" fontId="11" fillId="0" borderId="0" xfId="0" applyFont="1"/>
    <xf numFmtId="14" fontId="13" fillId="3" borderId="0" xfId="8" applyNumberFormat="1" applyFont="1" applyFill="1"/>
    <xf numFmtId="0" fontId="11" fillId="0" borderId="0" xfId="8" applyFont="1" applyAlignment="1">
      <alignment horizontal="center" vertical="center"/>
    </xf>
    <xf numFmtId="0" fontId="11" fillId="0" borderId="10" xfId="8" applyFont="1" applyBorder="1"/>
    <xf numFmtId="0" fontId="8" fillId="4" borderId="11" xfId="8" applyFont="1" applyFill="1" applyBorder="1" applyAlignment="1">
      <alignment horizontal="center" vertical="center"/>
    </xf>
    <xf numFmtId="0" fontId="12" fillId="0" borderId="12" xfId="8" applyFont="1" applyBorder="1" applyAlignment="1">
      <alignment horizontal="center" vertical="center"/>
    </xf>
    <xf numFmtId="0" fontId="8" fillId="4" borderId="13" xfId="8" applyFont="1" applyFill="1" applyBorder="1" applyAlignment="1">
      <alignment vertical="center"/>
    </xf>
    <xf numFmtId="0" fontId="8" fillId="4" borderId="14" xfId="8" applyFont="1" applyFill="1" applyBorder="1" applyAlignment="1">
      <alignment vertical="center"/>
    </xf>
    <xf numFmtId="0" fontId="12" fillId="0" borderId="15" xfId="8" applyFont="1" applyBorder="1" applyAlignment="1">
      <alignment horizontal="center" vertical="center"/>
    </xf>
    <xf numFmtId="0" fontId="11" fillId="0" borderId="0" xfId="8" applyFont="1" applyAlignment="1">
      <alignment horizontal="left"/>
    </xf>
    <xf numFmtId="0" fontId="11" fillId="0" borderId="13" xfId="8" applyFont="1" applyBorder="1"/>
    <xf numFmtId="0" fontId="11" fillId="0" borderId="14" xfId="8" applyFont="1" applyBorder="1"/>
    <xf numFmtId="0" fontId="14" fillId="0" borderId="15" xfId="7" applyFont="1" applyFill="1" applyBorder="1" applyAlignment="1">
      <alignment horizontal="center"/>
    </xf>
    <xf numFmtId="0" fontId="14" fillId="0" borderId="15" xfId="7" quotePrefix="1" applyFont="1" applyFill="1" applyBorder="1" applyAlignment="1">
      <alignment horizontal="center"/>
    </xf>
    <xf numFmtId="0" fontId="15" fillId="0" borderId="15" xfId="7" quotePrefix="1" applyFont="1" applyFill="1" applyBorder="1" applyAlignment="1">
      <alignment horizontal="center"/>
    </xf>
    <xf numFmtId="0" fontId="15" fillId="0" borderId="15" xfId="7" applyFont="1" applyFill="1" applyBorder="1" applyAlignment="1">
      <alignment horizontal="center"/>
    </xf>
    <xf numFmtId="0" fontId="8" fillId="4" borderId="16" xfId="8" applyFont="1" applyFill="1" applyBorder="1" applyAlignment="1">
      <alignment vertical="center"/>
    </xf>
    <xf numFmtId="0" fontId="11" fillId="0" borderId="17" xfId="8" applyFont="1" applyBorder="1"/>
    <xf numFmtId="0" fontId="14" fillId="0" borderId="18" xfId="7" quotePrefix="1" applyFont="1" applyFill="1" applyBorder="1" applyAlignment="1">
      <alignment horizontal="center"/>
    </xf>
    <xf numFmtId="0" fontId="17" fillId="0" borderId="0" xfId="5" applyFont="1"/>
    <xf numFmtId="0" fontId="18" fillId="0" borderId="0" xfId="5" applyFont="1"/>
    <xf numFmtId="0" fontId="14" fillId="4" borderId="0" xfId="7" applyFont="1" applyFill="1" applyBorder="1" applyAlignment="1">
      <alignment horizontal="center" vertical="center"/>
    </xf>
    <xf numFmtId="0" fontId="19" fillId="5" borderId="10" xfId="5" applyFont="1" applyFill="1" applyBorder="1" applyAlignment="1">
      <alignment vertical="center"/>
    </xf>
    <xf numFmtId="0" fontId="19" fillId="5" borderId="19" xfId="5" applyFont="1" applyFill="1" applyBorder="1" applyAlignment="1">
      <alignment vertical="center"/>
    </xf>
    <xf numFmtId="0" fontId="20" fillId="5" borderId="19" xfId="5" applyFont="1" applyFill="1" applyBorder="1" applyAlignment="1">
      <alignment vertical="center"/>
    </xf>
    <xf numFmtId="0" fontId="20" fillId="5" borderId="11" xfId="5" applyFont="1" applyFill="1" applyBorder="1" applyAlignment="1">
      <alignment vertical="center"/>
    </xf>
    <xf numFmtId="0" fontId="17" fillId="0" borderId="0" xfId="5" applyFont="1" applyAlignment="1">
      <alignment vertical="center"/>
    </xf>
    <xf numFmtId="0" fontId="19" fillId="0" borderId="13" xfId="5" applyFont="1" applyBorder="1" applyAlignment="1">
      <alignment vertical="center"/>
    </xf>
    <xf numFmtId="0" fontId="19" fillId="0" borderId="0" xfId="5" applyFont="1" applyAlignment="1">
      <alignment vertical="center"/>
    </xf>
    <xf numFmtId="0" fontId="17" fillId="0" borderId="14" xfId="5" applyFont="1" applyBorder="1" applyAlignment="1">
      <alignment vertical="center"/>
    </xf>
    <xf numFmtId="0" fontId="18" fillId="0" borderId="0" xfId="5" applyFont="1" applyAlignment="1">
      <alignment vertical="center"/>
    </xf>
    <xf numFmtId="0" fontId="18" fillId="0" borderId="13" xfId="5" applyFont="1" applyBorder="1" applyAlignment="1">
      <alignment vertical="center"/>
    </xf>
    <xf numFmtId="0" fontId="18" fillId="0" borderId="14" xfId="5" applyFont="1" applyBorder="1" applyAlignment="1">
      <alignment vertical="center"/>
    </xf>
    <xf numFmtId="0" fontId="18" fillId="0" borderId="13" xfId="5" applyFont="1" applyBorder="1"/>
    <xf numFmtId="0" fontId="18" fillId="0" borderId="14" xfId="5" applyFont="1" applyBorder="1"/>
    <xf numFmtId="0" fontId="19" fillId="5" borderId="11" xfId="5" applyFont="1" applyFill="1" applyBorder="1" applyAlignment="1">
      <alignment vertical="center"/>
    </xf>
    <xf numFmtId="0" fontId="18" fillId="0" borderId="10" xfId="5" applyFont="1" applyBorder="1" applyAlignment="1">
      <alignment vertical="center"/>
    </xf>
    <xf numFmtId="0" fontId="18" fillId="0" borderId="19" xfId="5" applyFont="1" applyBorder="1" applyAlignment="1">
      <alignment vertical="center"/>
    </xf>
    <xf numFmtId="0" fontId="18" fillId="0" borderId="11" xfId="5" applyFont="1" applyBorder="1" applyAlignment="1">
      <alignment vertical="center"/>
    </xf>
    <xf numFmtId="0" fontId="18" fillId="0" borderId="16" xfId="5" applyFont="1" applyBorder="1"/>
    <xf numFmtId="0" fontId="18" fillId="0" borderId="2" xfId="5" applyFont="1" applyBorder="1"/>
    <xf numFmtId="0" fontId="18" fillId="0" borderId="17" xfId="5" applyFont="1" applyBorder="1"/>
    <xf numFmtId="0" fontId="17" fillId="0" borderId="23" xfId="5" applyFont="1" applyBorder="1" applyAlignment="1">
      <alignment horizontal="justify" vertical="center"/>
    </xf>
    <xf numFmtId="0" fontId="18" fillId="0" borderId="24" xfId="5" applyFont="1" applyBorder="1"/>
    <xf numFmtId="0" fontId="17" fillId="0" borderId="0" xfId="5" applyFont="1" applyAlignment="1">
      <alignment horizontal="left" vertical="center"/>
    </xf>
    <xf numFmtId="0" fontId="18" fillId="0" borderId="23" xfId="5" applyFont="1" applyBorder="1" applyAlignment="1">
      <alignment horizontal="left" vertical="top" wrapText="1"/>
    </xf>
    <xf numFmtId="0" fontId="18" fillId="0" borderId="0" xfId="5" applyFont="1" applyAlignment="1">
      <alignment horizontal="left" vertical="top" wrapText="1"/>
    </xf>
    <xf numFmtId="0" fontId="18" fillId="0" borderId="24" xfId="5" applyFont="1" applyBorder="1" applyAlignment="1">
      <alignment horizontal="left" vertical="top" wrapText="1"/>
    </xf>
    <xf numFmtId="0" fontId="17" fillId="0" borderId="23" xfId="5" applyFont="1" applyBorder="1" applyAlignment="1">
      <alignment horizontal="left" vertical="center"/>
    </xf>
    <xf numFmtId="168" fontId="21" fillId="0" borderId="0" xfId="9" applyFont="1" applyAlignment="1">
      <alignment horizontal="left" wrapText="1"/>
    </xf>
    <xf numFmtId="168" fontId="22" fillId="0" borderId="0" xfId="9" applyFont="1" applyAlignment="1">
      <alignment horizontal="justify" vertical="top" wrapText="1"/>
    </xf>
    <xf numFmtId="168" fontId="21" fillId="0" borderId="0" xfId="9" applyFont="1" applyAlignment="1">
      <alignment horizontal="justify" vertical="top" wrapText="1"/>
    </xf>
    <xf numFmtId="0" fontId="21" fillId="0" borderId="2" xfId="10" quotePrefix="1" applyNumberFormat="1" applyFont="1" applyFill="1" applyBorder="1" applyAlignment="1">
      <alignment horizontal="center" vertical="center"/>
    </xf>
    <xf numFmtId="168" fontId="21" fillId="0" borderId="0" xfId="9" applyFont="1" applyAlignment="1">
      <alignment horizontal="center" vertical="top" wrapText="1"/>
    </xf>
    <xf numFmtId="0" fontId="21" fillId="0" borderId="0" xfId="10" quotePrefix="1" applyNumberFormat="1" applyFont="1" applyFill="1" applyBorder="1" applyAlignment="1">
      <alignment horizontal="center" vertical="center"/>
    </xf>
    <xf numFmtId="168" fontId="22" fillId="0" borderId="0" xfId="9" applyFont="1" applyAlignment="1">
      <alignment vertical="top" wrapText="1"/>
    </xf>
    <xf numFmtId="3" fontId="22" fillId="0" borderId="0" xfId="11" applyNumberFormat="1" applyFont="1" applyFill="1" applyBorder="1" applyAlignment="1">
      <alignment horizontal="center" vertical="top" wrapText="1"/>
    </xf>
    <xf numFmtId="3" fontId="22" fillId="0" borderId="0" xfId="11" applyNumberFormat="1" applyFont="1" applyFill="1" applyBorder="1" applyAlignment="1">
      <alignment vertical="top" wrapText="1"/>
    </xf>
    <xf numFmtId="4" fontId="22" fillId="0" borderId="0" xfId="9" applyNumberFormat="1" applyFont="1" applyAlignment="1">
      <alignment vertical="top" wrapText="1"/>
    </xf>
    <xf numFmtId="4" fontId="22" fillId="0" borderId="0" xfId="11" applyNumberFormat="1" applyFont="1" applyFill="1" applyBorder="1" applyAlignment="1">
      <alignment horizontal="center" vertical="top" wrapText="1"/>
    </xf>
    <xf numFmtId="0" fontId="18" fillId="0" borderId="0" xfId="12" applyFont="1"/>
    <xf numFmtId="0" fontId="18" fillId="0" borderId="0" xfId="13" applyFont="1" applyAlignment="1">
      <alignment vertical="center"/>
    </xf>
    <xf numFmtId="3" fontId="18" fillId="0" borderId="0" xfId="2" applyNumberFormat="1" applyFont="1" applyFill="1" applyBorder="1" applyAlignment="1">
      <alignment vertical="center"/>
    </xf>
    <xf numFmtId="0" fontId="18" fillId="0" borderId="23" xfId="5" applyFont="1" applyBorder="1" applyAlignment="1">
      <alignment horizontal="justify" vertical="center"/>
    </xf>
    <xf numFmtId="0" fontId="18" fillId="0" borderId="23" xfId="5" applyFont="1" applyBorder="1" applyAlignment="1">
      <alignment vertical="center"/>
    </xf>
    <xf numFmtId="0" fontId="17" fillId="0" borderId="24" xfId="5" applyFont="1" applyBorder="1"/>
    <xf numFmtId="0" fontId="18" fillId="0" borderId="23" xfId="5" applyFont="1" applyBorder="1" applyAlignment="1">
      <alignment horizontal="left" vertical="center" wrapText="1"/>
    </xf>
    <xf numFmtId="0" fontId="18" fillId="0" borderId="0" xfId="5" applyFont="1" applyAlignment="1">
      <alignment horizontal="left" vertical="center" wrapText="1"/>
    </xf>
    <xf numFmtId="0" fontId="18" fillId="0" borderId="24" xfId="5" applyFont="1" applyBorder="1" applyAlignment="1">
      <alignment horizontal="left" vertical="center" wrapText="1"/>
    </xf>
    <xf numFmtId="0" fontId="14" fillId="0" borderId="0" xfId="7" applyFont="1" applyFill="1" applyBorder="1"/>
    <xf numFmtId="0" fontId="25" fillId="0" borderId="0" xfId="0" applyFont="1"/>
    <xf numFmtId="0" fontId="28" fillId="0" borderId="0" xfId="14" applyFont="1" applyAlignment="1">
      <alignment vertical="center"/>
    </xf>
    <xf numFmtId="0" fontId="27" fillId="0" borderId="0" xfId="14" applyFont="1" applyAlignment="1">
      <alignment vertical="center"/>
    </xf>
    <xf numFmtId="0" fontId="29" fillId="0" borderId="0" xfId="14" applyFont="1" applyAlignment="1">
      <alignment vertical="center"/>
    </xf>
    <xf numFmtId="0" fontId="30" fillId="5" borderId="0" xfId="0" applyFont="1" applyFill="1"/>
    <xf numFmtId="17" fontId="31" fillId="5" borderId="0" xfId="14" applyNumberFormat="1" applyFont="1" applyFill="1" applyAlignment="1">
      <alignment horizontal="center" vertical="center" wrapText="1"/>
    </xf>
    <xf numFmtId="17" fontId="13" fillId="5" borderId="26" xfId="14" quotePrefix="1" applyNumberFormat="1" applyFont="1" applyFill="1" applyBorder="1" applyAlignment="1">
      <alignment horizontal="center" vertical="center" wrapText="1"/>
    </xf>
    <xf numFmtId="170" fontId="12" fillId="0" borderId="0" xfId="14" applyNumberFormat="1" applyFont="1" applyAlignment="1">
      <alignment vertical="center" wrapText="1"/>
    </xf>
    <xf numFmtId="17" fontId="32" fillId="0" borderId="0" xfId="14" applyNumberFormat="1" applyFont="1" applyAlignment="1">
      <alignment horizontal="center" vertical="center" wrapText="1"/>
    </xf>
    <xf numFmtId="17" fontId="12" fillId="0" borderId="0" xfId="14" quotePrefix="1" applyNumberFormat="1" applyFont="1" applyAlignment="1">
      <alignment horizontal="center" vertical="center" wrapText="1"/>
    </xf>
    <xf numFmtId="170" fontId="12" fillId="0" borderId="0" xfId="14" applyNumberFormat="1" applyFont="1" applyAlignment="1">
      <alignment horizontal="center" vertical="center" wrapText="1"/>
    </xf>
    <xf numFmtId="0" fontId="11" fillId="0" borderId="0" xfId="15" applyFont="1"/>
    <xf numFmtId="170" fontId="14" fillId="0" borderId="0" xfId="7" applyNumberFormat="1" applyFont="1" applyFill="1" applyBorder="1" applyAlignment="1">
      <alignment horizontal="center" vertical="center" wrapText="1"/>
    </xf>
    <xf numFmtId="171" fontId="5" fillId="0" borderId="0" xfId="1" applyNumberFormat="1" applyFont="1" applyFill="1" applyBorder="1"/>
    <xf numFmtId="171" fontId="5" fillId="0" borderId="0" xfId="1" applyNumberFormat="1" applyFont="1" applyFill="1" applyBorder="1" applyAlignment="1">
      <alignment vertical="center"/>
    </xf>
    <xf numFmtId="0" fontId="11" fillId="0" borderId="0" xfId="15" applyFont="1" applyAlignment="1">
      <alignment vertical="center"/>
    </xf>
    <xf numFmtId="166" fontId="5" fillId="0" borderId="26" xfId="1" applyNumberFormat="1" applyFont="1" applyFill="1" applyBorder="1"/>
    <xf numFmtId="170" fontId="11" fillId="0" borderId="0" xfId="14" applyNumberFormat="1" applyFont="1" applyAlignment="1">
      <alignment vertical="center" wrapText="1"/>
    </xf>
    <xf numFmtId="166" fontId="8" fillId="0" borderId="27" xfId="1" applyNumberFormat="1" applyFont="1" applyFill="1" applyBorder="1"/>
    <xf numFmtId="170" fontId="34" fillId="0" borderId="0" xfId="14" applyNumberFormat="1" applyFont="1" applyAlignment="1">
      <alignment horizontal="center" vertical="center" wrapText="1"/>
    </xf>
    <xf numFmtId="170" fontId="12" fillId="0" borderId="0" xfId="14" applyNumberFormat="1" applyFont="1" applyAlignment="1">
      <alignment horizontal="justify" vertical="center" wrapText="1"/>
    </xf>
    <xf numFmtId="170" fontId="11" fillId="0" borderId="0" xfId="14" applyNumberFormat="1" applyFont="1" applyAlignment="1">
      <alignment horizontal="justify" vertical="center" wrapText="1"/>
    </xf>
    <xf numFmtId="171" fontId="5" fillId="0" borderId="26" xfId="1" applyNumberFormat="1" applyFont="1" applyFill="1" applyBorder="1"/>
    <xf numFmtId="171" fontId="8" fillId="0" borderId="2" xfId="1" applyNumberFormat="1" applyFont="1" applyFill="1" applyBorder="1"/>
    <xf numFmtId="171" fontId="8" fillId="0" borderId="27" xfId="1" applyNumberFormat="1" applyFont="1" applyFill="1" applyBorder="1"/>
    <xf numFmtId="0" fontId="11" fillId="0" borderId="0" xfId="14" applyFont="1" applyAlignment="1">
      <alignment vertical="center"/>
    </xf>
    <xf numFmtId="0" fontId="35" fillId="0" borderId="0" xfId="16" applyFont="1" applyFill="1" applyBorder="1"/>
    <xf numFmtId="166" fontId="35" fillId="0" borderId="0" xfId="16" applyNumberFormat="1" applyFont="1" applyFill="1" applyBorder="1"/>
    <xf numFmtId="171" fontId="25" fillId="0" borderId="0" xfId="0" applyNumberFormat="1" applyFont="1"/>
    <xf numFmtId="0" fontId="10" fillId="7" borderId="0" xfId="7" applyFill="1" applyAlignment="1">
      <alignment horizontal="center" vertical="center"/>
    </xf>
    <xf numFmtId="0" fontId="10" fillId="0" borderId="0" xfId="7"/>
    <xf numFmtId="0" fontId="37" fillId="0" borderId="0" xfId="0" applyFont="1"/>
    <xf numFmtId="170" fontId="22" fillId="0" borderId="0" xfId="17" applyNumberFormat="1" applyFont="1" applyFill="1" applyBorder="1"/>
    <xf numFmtId="0" fontId="12" fillId="0" borderId="0" xfId="0" applyFont="1"/>
    <xf numFmtId="41" fontId="12" fillId="0" borderId="26" xfId="2" quotePrefix="1" applyNumberFormat="1" applyFont="1" applyFill="1" applyBorder="1" applyAlignment="1">
      <alignment horizontal="center" vertical="center" wrapText="1"/>
    </xf>
    <xf numFmtId="170" fontId="8" fillId="0" borderId="0" xfId="17" applyNumberFormat="1" applyFont="1" applyFill="1" applyBorder="1" applyAlignment="1">
      <alignment vertical="center"/>
    </xf>
    <xf numFmtId="0" fontId="38" fillId="0" borderId="0" xfId="0" applyFont="1"/>
    <xf numFmtId="0" fontId="5" fillId="4" borderId="0" xfId="18" applyFont="1" applyFill="1"/>
    <xf numFmtId="41" fontId="5" fillId="4" borderId="0" xfId="2" applyNumberFormat="1" applyFont="1" applyFill="1" applyBorder="1"/>
    <xf numFmtId="0" fontId="18" fillId="0" borderId="0" xfId="0" applyFont="1" applyAlignment="1">
      <alignment horizontal="left"/>
    </xf>
    <xf numFmtId="0" fontId="39" fillId="0" borderId="0" xfId="0" applyFont="1"/>
    <xf numFmtId="0" fontId="8" fillId="0" borderId="0" xfId="19" applyFont="1" applyAlignment="1">
      <alignment vertical="center"/>
    </xf>
    <xf numFmtId="41" fontId="8" fillId="0" borderId="28" xfId="2" applyNumberFormat="1" applyFont="1" applyFill="1" applyBorder="1" applyAlignment="1">
      <alignment vertical="center"/>
    </xf>
    <xf numFmtId="0" fontId="18" fillId="0" borderId="0" xfId="0" applyFont="1"/>
    <xf numFmtId="0" fontId="19" fillId="5" borderId="0" xfId="20" applyFont="1" applyFill="1" applyAlignment="1">
      <alignment horizontal="left" vertical="center"/>
    </xf>
    <xf numFmtId="41" fontId="19" fillId="5" borderId="0" xfId="2" applyNumberFormat="1" applyFont="1" applyFill="1" applyBorder="1" applyAlignment="1">
      <alignment horizontal="right" vertical="center"/>
    </xf>
    <xf numFmtId="41" fontId="37" fillId="0" borderId="0" xfId="2" applyNumberFormat="1" applyFont="1" applyFill="1" applyBorder="1"/>
    <xf numFmtId="0" fontId="16" fillId="0" borderId="0" xfId="0" applyFont="1"/>
    <xf numFmtId="41" fontId="12" fillId="0" borderId="0" xfId="2" quotePrefix="1" applyNumberFormat="1" applyFont="1" applyFill="1" applyBorder="1" applyAlignment="1">
      <alignment horizontal="center" vertical="center" wrapText="1"/>
    </xf>
    <xf numFmtId="0" fontId="5" fillId="0" borderId="0" xfId="18" applyFont="1"/>
    <xf numFmtId="41" fontId="5" fillId="0" borderId="0" xfId="2" applyNumberFormat="1" applyFont="1" applyFill="1" applyBorder="1"/>
    <xf numFmtId="172" fontId="5" fillId="0" borderId="0" xfId="21" applyNumberFormat="1" applyFont="1" applyFill="1" applyBorder="1" applyAlignment="1">
      <alignment horizontal="center"/>
    </xf>
    <xf numFmtId="41" fontId="8" fillId="0" borderId="0" xfId="2" applyNumberFormat="1" applyFont="1" applyFill="1" applyBorder="1" applyAlignment="1">
      <alignment vertical="center"/>
    </xf>
    <xf numFmtId="0" fontId="18" fillId="0" borderId="0" xfId="0" applyFont="1" applyAlignment="1">
      <alignment vertical="center"/>
    </xf>
    <xf numFmtId="0" fontId="8" fillId="0" borderId="0" xfId="18" applyFont="1"/>
    <xf numFmtId="0" fontId="11" fillId="0" borderId="0" xfId="16" applyFont="1" applyFill="1" applyBorder="1"/>
    <xf numFmtId="41" fontId="16" fillId="0" borderId="0" xfId="22" applyFont="1" applyFill="1" applyBorder="1"/>
    <xf numFmtId="172" fontId="8" fillId="0" borderId="28" xfId="21" applyNumberFormat="1" applyFont="1" applyFill="1" applyBorder="1" applyAlignment="1">
      <alignment horizontal="center"/>
    </xf>
    <xf numFmtId="41" fontId="19" fillId="5" borderId="0" xfId="2" applyNumberFormat="1" applyFont="1" applyFill="1" applyBorder="1" applyAlignment="1">
      <alignment horizontal="left" vertical="center"/>
    </xf>
    <xf numFmtId="41" fontId="16" fillId="0" borderId="0" xfId="0" applyNumberFormat="1" applyFont="1"/>
    <xf numFmtId="41" fontId="16" fillId="0" borderId="0" xfId="2" applyNumberFormat="1" applyFont="1" applyFill="1" applyBorder="1"/>
    <xf numFmtId="0" fontId="11" fillId="0" borderId="0" xfId="23" applyFont="1"/>
    <xf numFmtId="0" fontId="42" fillId="0" borderId="0" xfId="23" applyFont="1"/>
    <xf numFmtId="0" fontId="12" fillId="0" borderId="0" xfId="23" applyFont="1"/>
    <xf numFmtId="0" fontId="7" fillId="0" borderId="0" xfId="18" applyFont="1"/>
    <xf numFmtId="41" fontId="7" fillId="0" borderId="0" xfId="2" applyNumberFormat="1" applyFont="1" applyFill="1" applyBorder="1"/>
    <xf numFmtId="0" fontId="15" fillId="0" borderId="0" xfId="7" applyFont="1" applyFill="1" applyBorder="1"/>
    <xf numFmtId="173" fontId="11" fillId="0" borderId="0" xfId="26" applyNumberFormat="1" applyFont="1"/>
    <xf numFmtId="0" fontId="16" fillId="0" borderId="0" xfId="27" applyFont="1" applyFill="1" applyBorder="1"/>
    <xf numFmtId="0" fontId="11" fillId="0" borderId="0" xfId="27" applyFont="1" applyFill="1" applyBorder="1"/>
    <xf numFmtId="41" fontId="12" fillId="0" borderId="0" xfId="22" applyFont="1" applyFill="1" applyBorder="1"/>
    <xf numFmtId="0" fontId="12" fillId="0" borderId="0" xfId="28" applyFont="1" applyFill="1" applyBorder="1" applyAlignment="1">
      <alignment horizontal="center"/>
    </xf>
    <xf numFmtId="41" fontId="11" fillId="0" borderId="0" xfId="22" applyFont="1" applyFill="1" applyBorder="1" applyAlignment="1">
      <alignment horizontal="left"/>
    </xf>
    <xf numFmtId="9" fontId="11" fillId="0" borderId="0" xfId="29" applyFont="1" applyFill="1" applyBorder="1"/>
    <xf numFmtId="41" fontId="11" fillId="0" borderId="0" xfId="22" applyFont="1" applyFill="1" applyBorder="1"/>
    <xf numFmtId="9" fontId="12" fillId="0" borderId="28" xfId="29" applyFont="1" applyFill="1" applyBorder="1"/>
    <xf numFmtId="41" fontId="12" fillId="0" borderId="28" xfId="22" applyFont="1" applyFill="1" applyBorder="1"/>
    <xf numFmtId="9" fontId="12" fillId="0" borderId="0" xfId="29" applyFont="1" applyFill="1" applyBorder="1"/>
    <xf numFmtId="170" fontId="16" fillId="0" borderId="0" xfId="27" applyNumberFormat="1" applyFont="1" applyFill="1" applyBorder="1"/>
    <xf numFmtId="170" fontId="12" fillId="0" borderId="28" xfId="22" applyNumberFormat="1" applyFont="1" applyFill="1" applyBorder="1"/>
    <xf numFmtId="0" fontId="19" fillId="5" borderId="0" xfId="27" applyFont="1" applyFill="1" applyBorder="1"/>
    <xf numFmtId="0" fontId="44" fillId="5" borderId="0" xfId="27" applyFont="1" applyFill="1" applyBorder="1"/>
    <xf numFmtId="41" fontId="44" fillId="5" borderId="0" xfId="27" applyNumberFormat="1" applyFont="1" applyFill="1" applyBorder="1"/>
    <xf numFmtId="0" fontId="16" fillId="5" borderId="0" xfId="27" applyFont="1" applyFill="1" applyBorder="1"/>
    <xf numFmtId="0" fontId="18" fillId="4" borderId="0" xfId="5" applyFont="1" applyFill="1"/>
    <xf numFmtId="0" fontId="14" fillId="4" borderId="0" xfId="7" applyFont="1" applyFill="1" applyBorder="1"/>
    <xf numFmtId="0" fontId="13" fillId="4" borderId="0" xfId="5" applyFont="1" applyFill="1" applyAlignment="1">
      <alignment vertical="center"/>
    </xf>
    <xf numFmtId="0" fontId="19" fillId="5" borderId="0" xfId="5" applyFont="1" applyFill="1" applyAlignment="1">
      <alignment horizontal="center" vertical="center"/>
    </xf>
    <xf numFmtId="0" fontId="17" fillId="4" borderId="2" xfId="5" applyFont="1" applyFill="1" applyBorder="1"/>
    <xf numFmtId="173" fontId="45" fillId="4" borderId="2" xfId="30" applyNumberFormat="1" applyFont="1" applyFill="1" applyBorder="1"/>
    <xf numFmtId="0" fontId="17" fillId="4" borderId="0" xfId="5" applyFont="1" applyFill="1"/>
    <xf numFmtId="174" fontId="18" fillId="4" borderId="0" xfId="5" applyNumberFormat="1" applyFont="1" applyFill="1"/>
    <xf numFmtId="0" fontId="13" fillId="6" borderId="0" xfId="5" applyFont="1" applyFill="1" applyAlignment="1">
      <alignment vertical="center"/>
    </xf>
    <xf numFmtId="0" fontId="19" fillId="6" borderId="0" xfId="5" applyFont="1" applyFill="1" applyAlignment="1">
      <alignment horizontal="center" vertical="center"/>
    </xf>
    <xf numFmtId="164" fontId="18" fillId="4" borderId="0" xfId="2" applyFont="1" applyFill="1" applyBorder="1"/>
    <xf numFmtId="173" fontId="18" fillId="4" borderId="0" xfId="5" applyNumberFormat="1" applyFont="1" applyFill="1"/>
    <xf numFmtId="0" fontId="46" fillId="0" borderId="0" xfId="0" applyFont="1" applyAlignment="1">
      <alignment horizontal="right"/>
    </xf>
    <xf numFmtId="0" fontId="27" fillId="0" borderId="0" xfId="14" applyFont="1" applyAlignment="1">
      <alignment horizontal="center" vertical="top" wrapText="1"/>
    </xf>
    <xf numFmtId="0" fontId="33" fillId="5" borderId="0" xfId="14" applyFont="1" applyFill="1" applyAlignment="1">
      <alignment vertical="center" wrapText="1"/>
    </xf>
    <xf numFmtId="170" fontId="5" fillId="0" borderId="0" xfId="14" applyNumberFormat="1" applyFont="1" applyAlignment="1">
      <alignment vertical="center"/>
    </xf>
    <xf numFmtId="170" fontId="11" fillId="0" borderId="0" xfId="14" applyNumberFormat="1" applyFont="1" applyAlignment="1">
      <alignment vertical="center"/>
    </xf>
    <xf numFmtId="171" fontId="11" fillId="0" borderId="0" xfId="1" applyNumberFormat="1" applyFont="1" applyFill="1" applyBorder="1" applyAlignment="1">
      <alignment vertical="center"/>
    </xf>
    <xf numFmtId="170" fontId="12" fillId="0" borderId="0" xfId="14" applyNumberFormat="1" applyFont="1" applyAlignment="1">
      <alignment vertical="center"/>
    </xf>
    <xf numFmtId="41" fontId="12" fillId="0" borderId="19" xfId="2" applyNumberFormat="1" applyFont="1" applyFill="1" applyBorder="1" applyAlignment="1">
      <alignment horizontal="center" vertical="center" wrapText="1"/>
    </xf>
    <xf numFmtId="9" fontId="47" fillId="0" borderId="0" xfId="3" applyFont="1" applyFill="1" applyBorder="1" applyAlignment="1">
      <alignment horizontal="right" vertical="center" wrapText="1"/>
    </xf>
    <xf numFmtId="0" fontId="5" fillId="0" borderId="0" xfId="16" applyFont="1" applyFill="1" applyBorder="1" applyAlignment="1">
      <alignment vertical="center"/>
    </xf>
    <xf numFmtId="171" fontId="11" fillId="0" borderId="19" xfId="1" applyNumberFormat="1" applyFont="1" applyFill="1" applyBorder="1"/>
    <xf numFmtId="171" fontId="11" fillId="0" borderId="2" xfId="1" applyNumberFormat="1" applyFont="1" applyFill="1" applyBorder="1" applyAlignment="1">
      <alignment vertical="center"/>
    </xf>
    <xf numFmtId="171" fontId="12" fillId="0" borderId="27" xfId="1" applyNumberFormat="1" applyFont="1" applyFill="1" applyBorder="1"/>
    <xf numFmtId="170" fontId="12" fillId="0" borderId="27" xfId="14" applyNumberFormat="1" applyFont="1" applyBorder="1" applyAlignment="1">
      <alignment vertical="center" wrapText="1"/>
    </xf>
    <xf numFmtId="171" fontId="16" fillId="0" borderId="0" xfId="0" applyNumberFormat="1" applyFont="1"/>
    <xf numFmtId="0" fontId="19" fillId="6" borderId="0" xfId="20" applyFont="1" applyFill="1" applyAlignment="1">
      <alignment horizontal="left" vertical="center"/>
    </xf>
    <xf numFmtId="41" fontId="19" fillId="6" borderId="0" xfId="2" applyNumberFormat="1" applyFont="1" applyFill="1" applyBorder="1" applyAlignment="1">
      <alignment horizontal="right" vertical="center"/>
    </xf>
    <xf numFmtId="170" fontId="11" fillId="0" borderId="0" xfId="14" applyNumberFormat="1" applyFont="1" applyAlignment="1">
      <alignment horizontal="left" vertical="center"/>
    </xf>
    <xf numFmtId="0" fontId="48" fillId="4" borderId="0" xfId="7" applyFont="1" applyFill="1" applyBorder="1" applyAlignment="1">
      <alignment horizontal="center" vertical="center"/>
    </xf>
    <xf numFmtId="0" fontId="48" fillId="4" borderId="0" xfId="7" applyFont="1" applyFill="1" applyBorder="1"/>
    <xf numFmtId="0" fontId="18" fillId="0" borderId="0" xfId="27" applyFont="1" applyFill="1" applyBorder="1"/>
    <xf numFmtId="0" fontId="49" fillId="0" borderId="0" xfId="16" applyFont="1" applyFill="1" applyBorder="1"/>
    <xf numFmtId="3" fontId="5" fillId="4" borderId="0" xfId="2" applyNumberFormat="1" applyFont="1" applyFill="1" applyBorder="1"/>
    <xf numFmtId="0" fontId="14" fillId="4" borderId="0" xfId="7" applyFont="1" applyFill="1" applyBorder="1" applyAlignment="1">
      <alignment vertical="center"/>
    </xf>
    <xf numFmtId="17" fontId="12" fillId="0" borderId="26" xfId="14" quotePrefix="1" applyNumberFormat="1" applyFont="1" applyBorder="1" applyAlignment="1">
      <alignment horizontal="center" vertical="center" wrapText="1"/>
    </xf>
    <xf numFmtId="172" fontId="11" fillId="0" borderId="0" xfId="22" applyNumberFormat="1" applyFont="1" applyFill="1" applyBorder="1"/>
    <xf numFmtId="0" fontId="12" fillId="0" borderId="0" xfId="27" applyFont="1" applyFill="1" applyBorder="1"/>
    <xf numFmtId="172" fontId="11" fillId="0" borderId="19" xfId="22" applyNumberFormat="1" applyFont="1" applyFill="1" applyBorder="1"/>
    <xf numFmtId="49" fontId="11" fillId="0" borderId="0" xfId="32" applyNumberFormat="1" applyFont="1" applyFill="1" applyBorder="1"/>
    <xf numFmtId="0" fontId="11" fillId="0" borderId="0" xfId="13" applyFont="1"/>
    <xf numFmtId="9" fontId="11" fillId="0" borderId="0" xfId="3" applyFont="1" applyFill="1" applyBorder="1"/>
    <xf numFmtId="0" fontId="12" fillId="0" borderId="0" xfId="13" applyFont="1"/>
    <xf numFmtId="172" fontId="12" fillId="0" borderId="28" xfId="27" applyNumberFormat="1" applyFont="1" applyFill="1" applyBorder="1"/>
    <xf numFmtId="172" fontId="12" fillId="0" borderId="0" xfId="27" applyNumberFormat="1" applyFont="1" applyFill="1" applyBorder="1"/>
    <xf numFmtId="0" fontId="13" fillId="5" borderId="0" xfId="27" applyFont="1" applyFill="1" applyBorder="1"/>
    <xf numFmtId="172" fontId="33" fillId="5" borderId="0" xfId="27" applyNumberFormat="1" applyFont="1" applyFill="1" applyBorder="1"/>
    <xf numFmtId="49" fontId="12" fillId="0" borderId="26" xfId="14" quotePrefix="1" applyNumberFormat="1" applyFont="1" applyBorder="1" applyAlignment="1">
      <alignment horizontal="center" vertical="center" wrapText="1"/>
    </xf>
    <xf numFmtId="3" fontId="11" fillId="0" borderId="0" xfId="22" applyNumberFormat="1" applyFont="1" applyFill="1" applyBorder="1"/>
    <xf numFmtId="3" fontId="12" fillId="0" borderId="0" xfId="22" applyNumberFormat="1" applyFont="1" applyFill="1" applyBorder="1"/>
    <xf numFmtId="166" fontId="16" fillId="0" borderId="0" xfId="21" applyNumberFormat="1" applyFont="1" applyFill="1" applyBorder="1"/>
    <xf numFmtId="0" fontId="16" fillId="0" borderId="0" xfId="33" applyFont="1" applyFill="1" applyBorder="1"/>
    <xf numFmtId="0" fontId="16" fillId="0" borderId="0" xfId="28" applyFill="1" applyBorder="1"/>
    <xf numFmtId="0" fontId="49" fillId="0" borderId="0" xfId="28" applyFont="1" applyFill="1" applyBorder="1"/>
    <xf numFmtId="0" fontId="11" fillId="0" borderId="0" xfId="28" applyFont="1" applyFill="1" applyBorder="1" applyAlignment="1">
      <alignment horizontal="justify" vertical="top" wrapText="1"/>
    </xf>
    <xf numFmtId="166" fontId="16" fillId="0" borderId="0" xfId="21" applyNumberFormat="1" applyFont="1" applyFill="1" applyBorder="1" applyAlignment="1">
      <alignment horizontal="center"/>
    </xf>
    <xf numFmtId="0" fontId="11" fillId="0" borderId="0" xfId="28" applyFont="1" applyFill="1" applyBorder="1"/>
    <xf numFmtId="0" fontId="12" fillId="0" borderId="26" xfId="28" applyFont="1" applyFill="1" applyBorder="1" applyAlignment="1">
      <alignment horizontal="center"/>
    </xf>
    <xf numFmtId="166" fontId="12" fillId="0" borderId="0" xfId="21" applyNumberFormat="1" applyFont="1" applyFill="1" applyBorder="1" applyAlignment="1">
      <alignment horizontal="center"/>
    </xf>
    <xf numFmtId="0" fontId="12" fillId="0" borderId="0" xfId="28" applyFont="1" applyFill="1" applyBorder="1"/>
    <xf numFmtId="166" fontId="11" fillId="0" borderId="0" xfId="21" applyNumberFormat="1" applyFont="1" applyFill="1" applyBorder="1"/>
    <xf numFmtId="169" fontId="11" fillId="0" borderId="0" xfId="35" applyFont="1" applyFill="1" applyBorder="1"/>
    <xf numFmtId="172" fontId="11" fillId="0" borderId="0" xfId="28" applyNumberFormat="1" applyFont="1" applyFill="1" applyBorder="1" applyAlignment="1">
      <alignment horizontal="right"/>
    </xf>
    <xf numFmtId="166" fontId="11" fillId="0" borderId="0" xfId="21" applyNumberFormat="1" applyFont="1" applyFill="1" applyBorder="1" applyAlignment="1">
      <alignment horizontal="right"/>
    </xf>
    <xf numFmtId="3" fontId="11" fillId="0" borderId="0" xfId="28" applyNumberFormat="1" applyFont="1" applyFill="1" applyBorder="1" applyAlignment="1">
      <alignment horizontal="right"/>
    </xf>
    <xf numFmtId="169" fontId="12" fillId="0" borderId="26" xfId="28" applyNumberFormat="1" applyFont="1" applyFill="1" applyBorder="1" applyAlignment="1">
      <alignment horizontal="right"/>
    </xf>
    <xf numFmtId="172" fontId="12" fillId="0" borderId="26" xfId="28" applyNumberFormat="1" applyFont="1" applyFill="1" applyBorder="1" applyAlignment="1">
      <alignment horizontal="right"/>
    </xf>
    <xf numFmtId="166" fontId="12" fillId="0" borderId="0" xfId="21" applyNumberFormat="1" applyFont="1" applyFill="1" applyBorder="1" applyAlignment="1">
      <alignment horizontal="right"/>
    </xf>
    <xf numFmtId="172" fontId="12" fillId="0" borderId="0" xfId="28" applyNumberFormat="1" applyFont="1" applyFill="1" applyBorder="1" applyAlignment="1">
      <alignment horizontal="right"/>
    </xf>
    <xf numFmtId="3" fontId="12" fillId="0" borderId="0" xfId="28" applyNumberFormat="1" applyFont="1" applyFill="1" applyBorder="1" applyAlignment="1">
      <alignment horizontal="right"/>
    </xf>
    <xf numFmtId="0" fontId="50" fillId="0" borderId="0" xfId="33" applyFont="1" applyFill="1" applyBorder="1"/>
    <xf numFmtId="169" fontId="12" fillId="0" borderId="2" xfId="28" applyNumberFormat="1" applyFont="1" applyFill="1" applyBorder="1" applyAlignment="1">
      <alignment horizontal="right"/>
    </xf>
    <xf numFmtId="172" fontId="12" fillId="0" borderId="2" xfId="28" applyNumberFormat="1" applyFont="1" applyFill="1" applyBorder="1" applyAlignment="1">
      <alignment horizontal="right"/>
    </xf>
    <xf numFmtId="172" fontId="16" fillId="0" borderId="0" xfId="33" applyNumberFormat="1" applyFont="1" applyFill="1" applyBorder="1"/>
    <xf numFmtId="176" fontId="51" fillId="0" borderId="26" xfId="36" applyFont="1" applyFill="1" applyBorder="1" applyAlignment="1">
      <alignment horizontal="center"/>
    </xf>
    <xf numFmtId="177" fontId="12" fillId="0" borderId="26" xfId="28" applyNumberFormat="1" applyFont="1" applyFill="1" applyBorder="1" applyAlignment="1">
      <alignment horizontal="right"/>
    </xf>
    <xf numFmtId="171" fontId="12" fillId="0" borderId="26" xfId="28" applyNumberFormat="1" applyFont="1" applyFill="1" applyBorder="1" applyAlignment="1">
      <alignment horizontal="right"/>
    </xf>
    <xf numFmtId="177" fontId="11" fillId="0" borderId="0" xfId="28" applyNumberFormat="1" applyFont="1" applyFill="1" applyBorder="1" applyAlignment="1">
      <alignment horizontal="right"/>
    </xf>
    <xf numFmtId="171" fontId="11" fillId="0" borderId="0" xfId="28" applyNumberFormat="1" applyFont="1" applyFill="1" applyBorder="1" applyAlignment="1">
      <alignment horizontal="right"/>
    </xf>
    <xf numFmtId="177" fontId="12" fillId="0" borderId="27" xfId="28" applyNumberFormat="1" applyFont="1" applyFill="1" applyBorder="1" applyAlignment="1">
      <alignment horizontal="right"/>
    </xf>
    <xf numFmtId="171" fontId="12" fillId="0" borderId="27" xfId="28" applyNumberFormat="1" applyFont="1" applyFill="1" applyBorder="1" applyAlignment="1">
      <alignment horizontal="right"/>
    </xf>
    <xf numFmtId="171" fontId="12" fillId="0" borderId="0" xfId="28" applyNumberFormat="1" applyFont="1" applyFill="1" applyBorder="1" applyAlignment="1">
      <alignment horizontal="right"/>
    </xf>
    <xf numFmtId="176" fontId="51" fillId="0" borderId="0" xfId="36" applyFont="1" applyFill="1" applyBorder="1" applyAlignment="1">
      <alignment horizontal="center"/>
    </xf>
    <xf numFmtId="171" fontId="11" fillId="0" borderId="0" xfId="21" applyNumberFormat="1" applyFont="1" applyFill="1" applyBorder="1" applyAlignment="1">
      <alignment horizontal="right"/>
    </xf>
    <xf numFmtId="171" fontId="12" fillId="0" borderId="0" xfId="21" applyNumberFormat="1" applyFont="1" applyFill="1" applyBorder="1" applyAlignment="1">
      <alignment horizontal="right"/>
    </xf>
    <xf numFmtId="171" fontId="16" fillId="0" borderId="0" xfId="33" applyNumberFormat="1" applyFont="1" applyFill="1" applyBorder="1"/>
    <xf numFmtId="0" fontId="50" fillId="0" borderId="0" xfId="28" applyFont="1" applyFill="1" applyBorder="1"/>
    <xf numFmtId="172" fontId="16" fillId="0" borderId="0" xfId="21" applyNumberFormat="1" applyFont="1" applyFill="1" applyBorder="1"/>
    <xf numFmtId="0" fontId="52" fillId="0" borderId="0" xfId="33" applyFont="1" applyFill="1" applyBorder="1"/>
    <xf numFmtId="0" fontId="36" fillId="0" borderId="0" xfId="17" applyFont="1" applyFill="1" applyBorder="1" applyAlignment="1"/>
    <xf numFmtId="0" fontId="29" fillId="0" borderId="0" xfId="28" applyFont="1" applyFill="1" applyBorder="1"/>
    <xf numFmtId="0" fontId="18" fillId="0" borderId="0" xfId="33" applyFont="1" applyFill="1" applyBorder="1"/>
    <xf numFmtId="0" fontId="5" fillId="0" borderId="0" xfId="19" applyFont="1" applyAlignment="1">
      <alignment vertical="center"/>
    </xf>
    <xf numFmtId="0" fontId="8" fillId="0" borderId="0" xfId="37" applyFont="1" applyAlignment="1">
      <alignment vertical="center"/>
    </xf>
    <xf numFmtId="170" fontId="8" fillId="0" borderId="28" xfId="19" applyNumberFormat="1" applyFont="1" applyBorder="1" applyAlignment="1">
      <alignment vertical="center"/>
    </xf>
    <xf numFmtId="0" fontId="5" fillId="0" borderId="0" xfId="37" applyFont="1" applyAlignment="1">
      <alignment vertical="center"/>
    </xf>
    <xf numFmtId="170" fontId="5" fillId="0" borderId="0" xfId="19" applyNumberFormat="1" applyFont="1" applyAlignment="1">
      <alignment vertical="center"/>
    </xf>
    <xf numFmtId="170" fontId="11" fillId="0" borderId="0" xfId="27" applyNumberFormat="1" applyFont="1" applyFill="1" applyBorder="1"/>
    <xf numFmtId="170" fontId="8" fillId="0" borderId="0" xfId="19" applyNumberFormat="1" applyFont="1" applyAlignment="1">
      <alignment vertical="center"/>
    </xf>
    <xf numFmtId="9" fontId="8" fillId="0" borderId="0" xfId="3" applyFont="1" applyFill="1" applyBorder="1" applyAlignment="1">
      <alignment vertical="center"/>
    </xf>
    <xf numFmtId="0" fontId="53" fillId="8" borderId="0" xfId="16" applyFont="1" applyFill="1" applyBorder="1"/>
    <xf numFmtId="170" fontId="44" fillId="8" borderId="0" xfId="16" applyNumberFormat="1" applyFont="1" applyFill="1" applyBorder="1"/>
    <xf numFmtId="41" fontId="44" fillId="8" borderId="0" xfId="2" applyNumberFormat="1" applyFont="1" applyFill="1" applyBorder="1"/>
    <xf numFmtId="0" fontId="52" fillId="0" borderId="0" xfId="27" applyFont="1" applyFill="1" applyBorder="1"/>
    <xf numFmtId="0" fontId="4" fillId="0" borderId="0" xfId="14" applyAlignment="1">
      <alignment vertical="center"/>
    </xf>
    <xf numFmtId="0" fontId="54" fillId="0" borderId="0" xfId="37" applyFont="1" applyAlignment="1">
      <alignment horizontal="center" vertical="center"/>
    </xf>
    <xf numFmtId="0" fontId="12" fillId="0" borderId="0" xfId="14" applyFont="1" applyAlignment="1">
      <alignment vertical="center"/>
    </xf>
    <xf numFmtId="0" fontId="5" fillId="0" borderId="0" xfId="28" applyFont="1" applyFill="1" applyBorder="1" applyAlignment="1">
      <alignment horizontal="center"/>
    </xf>
    <xf numFmtId="0" fontId="5" fillId="0" borderId="0" xfId="14" applyFont="1" applyAlignment="1">
      <alignment vertical="center" wrapText="1"/>
    </xf>
    <xf numFmtId="0" fontId="8" fillId="0" borderId="0" xfId="14" applyFont="1" applyAlignment="1">
      <alignment horizontal="right" vertical="center"/>
    </xf>
    <xf numFmtId="3" fontId="8" fillId="0" borderId="0" xfId="14" applyNumberFormat="1" applyFont="1" applyAlignment="1">
      <alignment vertical="center"/>
    </xf>
    <xf numFmtId="0" fontId="5" fillId="0" borderId="0" xfId="14" applyFont="1" applyAlignment="1">
      <alignment vertical="center"/>
    </xf>
    <xf numFmtId="3" fontId="5" fillId="0" borderId="0" xfId="14" applyNumberFormat="1" applyFont="1" applyAlignment="1">
      <alignment vertical="center"/>
    </xf>
    <xf numFmtId="171" fontId="11" fillId="0" borderId="0" xfId="38" applyNumberFormat="1" applyFont="1" applyFill="1" applyBorder="1"/>
    <xf numFmtId="171" fontId="11" fillId="0" borderId="2" xfId="38" applyNumberFormat="1" applyFont="1" applyFill="1" applyBorder="1"/>
    <xf numFmtId="171" fontId="52" fillId="0" borderId="0" xfId="27" applyNumberFormat="1" applyFont="1" applyFill="1" applyBorder="1"/>
    <xf numFmtId="3" fontId="6" fillId="0" borderId="0" xfId="14" applyNumberFormat="1" applyFont="1" applyAlignment="1">
      <alignment vertical="center"/>
    </xf>
    <xf numFmtId="172" fontId="12" fillId="0" borderId="26" xfId="21" applyNumberFormat="1" applyFont="1" applyFill="1" applyBorder="1"/>
    <xf numFmtId="0" fontId="12" fillId="0" borderId="0" xfId="14" applyFont="1" applyAlignment="1">
      <alignment vertical="center" wrapText="1"/>
    </xf>
    <xf numFmtId="171" fontId="16" fillId="0" borderId="0" xfId="38" applyNumberFormat="1" applyFont="1" applyFill="1" applyBorder="1"/>
    <xf numFmtId="0" fontId="5" fillId="0" borderId="0" xfId="28" applyFont="1" applyFill="1" applyBorder="1" applyAlignment="1">
      <alignment vertical="top" wrapText="1"/>
    </xf>
    <xf numFmtId="171" fontId="16" fillId="0" borderId="0" xfId="27" applyNumberFormat="1" applyFont="1" applyFill="1" applyBorder="1"/>
    <xf numFmtId="0" fontId="5" fillId="0" borderId="0" xfId="39" applyFont="1" applyAlignment="1">
      <alignment vertical="top" wrapText="1"/>
    </xf>
    <xf numFmtId="41" fontId="5" fillId="0" borderId="0" xfId="22" applyFont="1" applyFill="1" applyBorder="1" applyAlignment="1">
      <alignment vertical="center"/>
    </xf>
    <xf numFmtId="0" fontId="11" fillId="0" borderId="0" xfId="14" applyFont="1" applyAlignment="1">
      <alignment vertical="center" wrapText="1"/>
    </xf>
    <xf numFmtId="0" fontId="8" fillId="0" borderId="0" xfId="28" applyFont="1" applyFill="1" applyBorder="1" applyAlignment="1">
      <alignment vertical="top" wrapText="1"/>
    </xf>
    <xf numFmtId="41" fontId="11" fillId="0" borderId="2" xfId="38" applyFont="1" applyFill="1" applyBorder="1"/>
    <xf numFmtId="175" fontId="11" fillId="0" borderId="0" xfId="40" applyNumberFormat="1" applyFont="1" applyFill="1" applyBorder="1"/>
    <xf numFmtId="175" fontId="12" fillId="0" borderId="27" xfId="40" applyNumberFormat="1" applyFont="1" applyFill="1" applyBorder="1"/>
    <xf numFmtId="166" fontId="52" fillId="0" borderId="0" xfId="28" applyNumberFormat="1" applyFont="1" applyFill="1" applyBorder="1"/>
    <xf numFmtId="0" fontId="5" fillId="8" borderId="0" xfId="14" applyFont="1" applyFill="1" applyAlignment="1">
      <alignment vertical="center"/>
    </xf>
    <xf numFmtId="170" fontId="13" fillId="8" borderId="0" xfId="14" applyNumberFormat="1" applyFont="1" applyFill="1" applyAlignment="1">
      <alignment horizontal="left" vertical="center"/>
    </xf>
    <xf numFmtId="171" fontId="33" fillId="8" borderId="0" xfId="38" applyNumberFormat="1" applyFont="1" applyFill="1" applyBorder="1"/>
    <xf numFmtId="170" fontId="56" fillId="8" borderId="0" xfId="14" applyNumberFormat="1" applyFont="1" applyFill="1" applyAlignment="1">
      <alignment horizontal="left" vertical="center"/>
    </xf>
    <xf numFmtId="0" fontId="10" fillId="0" borderId="15" xfId="7" applyFill="1" applyBorder="1" applyAlignment="1">
      <alignment horizontal="center"/>
    </xf>
    <xf numFmtId="0" fontId="10" fillId="0" borderId="15" xfId="7" quotePrefix="1" applyFill="1" applyBorder="1" applyAlignment="1">
      <alignment horizontal="center"/>
    </xf>
    <xf numFmtId="0" fontId="10" fillId="4" borderId="0" xfId="7" applyFill="1" applyBorder="1" applyAlignment="1">
      <alignment horizontal="center" vertical="center"/>
    </xf>
    <xf numFmtId="0" fontId="8" fillId="9" borderId="0" xfId="0" applyFont="1" applyFill="1"/>
    <xf numFmtId="17" fontId="57" fillId="0" borderId="26" xfId="14" quotePrefix="1" applyNumberFormat="1" applyFont="1" applyBorder="1" applyAlignment="1">
      <alignment horizontal="center" vertical="center" wrapText="1"/>
    </xf>
    <xf numFmtId="178" fontId="58" fillId="0" borderId="0" xfId="41" applyNumberFormat="1" applyFont="1" applyAlignment="1">
      <alignment horizontal="center" vertical="center"/>
    </xf>
    <xf numFmtId="0" fontId="59" fillId="0" borderId="0" xfId="24" applyFont="1"/>
    <xf numFmtId="164" fontId="11" fillId="0" borderId="0" xfId="2" applyFont="1"/>
    <xf numFmtId="164" fontId="12" fillId="10" borderId="0" xfId="2" applyFont="1" applyFill="1" applyAlignment="1">
      <alignment horizontal="center" vertical="center" wrapText="1"/>
    </xf>
    <xf numFmtId="0" fontId="8" fillId="10" borderId="0" xfId="0" applyFont="1" applyFill="1" applyAlignment="1">
      <alignment vertical="center"/>
    </xf>
    <xf numFmtId="3" fontId="8" fillId="10" borderId="28" xfId="0" applyNumberFormat="1" applyFont="1" applyFill="1" applyBorder="1" applyAlignment="1">
      <alignment horizontal="right" vertical="center"/>
    </xf>
    <xf numFmtId="0" fontId="60" fillId="11" borderId="0" xfId="20" applyFont="1" applyFill="1" applyAlignment="1">
      <alignment horizontal="left" vertical="center"/>
    </xf>
    <xf numFmtId="3" fontId="60" fillId="11" borderId="0" xfId="20" applyNumberFormat="1" applyFont="1" applyFill="1" applyAlignment="1">
      <alignment horizontal="right" vertical="center"/>
    </xf>
    <xf numFmtId="0" fontId="60" fillId="11" borderId="0" xfId="20" applyFont="1" applyFill="1" applyAlignment="1">
      <alignment horizontal="right" vertical="center"/>
    </xf>
    <xf numFmtId="0" fontId="12" fillId="10" borderId="26" xfId="0" applyFont="1" applyFill="1" applyBorder="1" applyAlignment="1">
      <alignment horizontal="center" vertical="center" wrapText="1"/>
    </xf>
    <xf numFmtId="0" fontId="12" fillId="10" borderId="0" xfId="0" applyFont="1" applyFill="1" applyAlignment="1">
      <alignment horizontal="center" vertical="center" wrapText="1"/>
    </xf>
    <xf numFmtId="170" fontId="59" fillId="0" borderId="0" xfId="25" applyNumberFormat="1" applyFont="1" applyBorder="1"/>
    <xf numFmtId="164" fontId="11" fillId="0" borderId="0" xfId="2" applyFont="1" applyFill="1"/>
    <xf numFmtId="164" fontId="59" fillId="0" borderId="0" xfId="25" applyNumberFormat="1" applyFont="1" applyBorder="1"/>
    <xf numFmtId="164" fontId="8" fillId="10" borderId="28" xfId="2" applyFont="1" applyFill="1" applyBorder="1" applyAlignment="1">
      <alignment horizontal="right" vertical="center"/>
    </xf>
    <xf numFmtId="170" fontId="61" fillId="0" borderId="28" xfId="25" applyNumberFormat="1" applyFont="1" applyBorder="1"/>
    <xf numFmtId="164" fontId="60" fillId="11" borderId="0" xfId="2" applyFont="1" applyFill="1" applyAlignment="1">
      <alignment horizontal="right" vertical="center"/>
    </xf>
    <xf numFmtId="164" fontId="60" fillId="11" borderId="0" xfId="20" applyNumberFormat="1" applyFont="1" applyFill="1" applyAlignment="1">
      <alignment horizontal="left" vertical="center"/>
    </xf>
    <xf numFmtId="0" fontId="62" fillId="0" borderId="0" xfId="7" applyFont="1" applyFill="1" applyBorder="1"/>
    <xf numFmtId="0" fontId="5" fillId="0" borderId="0" xfId="23" applyFont="1"/>
    <xf numFmtId="0" fontId="5" fillId="0" borderId="0" xfId="0" applyFont="1"/>
    <xf numFmtId="0" fontId="8" fillId="10" borderId="26" xfId="0" applyFont="1" applyFill="1" applyBorder="1" applyAlignment="1">
      <alignment horizontal="center" vertical="center" wrapText="1"/>
    </xf>
    <xf numFmtId="164" fontId="5" fillId="0" borderId="0" xfId="2" applyFont="1"/>
    <xf numFmtId="3" fontId="21" fillId="11" borderId="0" xfId="20" applyNumberFormat="1" applyFont="1" applyFill="1" applyAlignment="1">
      <alignment horizontal="right" vertical="center"/>
    </xf>
    <xf numFmtId="170" fontId="8" fillId="0" borderId="0" xfId="17" applyNumberFormat="1" applyFont="1" applyAlignment="1">
      <alignment vertical="center"/>
    </xf>
    <xf numFmtId="41" fontId="63" fillId="0" borderId="26" xfId="42" quotePrefix="1" applyFont="1" applyFill="1" applyBorder="1" applyAlignment="1">
      <alignment horizontal="center" vertical="center" wrapText="1"/>
    </xf>
    <xf numFmtId="170" fontId="8" fillId="0" borderId="0" xfId="17" applyNumberFormat="1" applyFont="1" applyFill="1" applyAlignment="1">
      <alignment vertical="center"/>
    </xf>
    <xf numFmtId="0" fontId="64" fillId="0" borderId="0" xfId="15" applyFont="1"/>
    <xf numFmtId="41" fontId="5" fillId="7" borderId="0" xfId="42" applyFont="1" applyFill="1"/>
    <xf numFmtId="0" fontId="5" fillId="7" borderId="0" xfId="18" applyFont="1" applyFill="1"/>
    <xf numFmtId="170" fontId="22" fillId="0" borderId="0" xfId="13" applyNumberFormat="1" applyFont="1" applyAlignment="1">
      <alignment vertical="center"/>
    </xf>
    <xf numFmtId="171" fontId="66" fillId="0" borderId="0" xfId="1" applyNumberFormat="1" applyFont="1" applyFill="1" applyAlignment="1">
      <alignment vertical="center"/>
    </xf>
    <xf numFmtId="41" fontId="8" fillId="0" borderId="28" xfId="42" applyFont="1" applyBorder="1" applyAlignment="1">
      <alignment vertical="center"/>
    </xf>
    <xf numFmtId="41" fontId="8" fillId="0" borderId="0" xfId="42" applyFont="1" applyBorder="1" applyAlignment="1">
      <alignment vertical="center"/>
    </xf>
    <xf numFmtId="0" fontId="64" fillId="0" borderId="0" xfId="0" applyFont="1"/>
    <xf numFmtId="41" fontId="60" fillId="11" borderId="0" xfId="42" applyFont="1" applyFill="1" applyAlignment="1">
      <alignment horizontal="right" vertical="center"/>
    </xf>
    <xf numFmtId="173" fontId="18" fillId="4" borderId="19" xfId="31" applyNumberFormat="1" applyFont="1" applyFill="1" applyBorder="1"/>
    <xf numFmtId="170" fontId="66" fillId="0" borderId="0" xfId="14" applyNumberFormat="1" applyFont="1" applyAlignment="1">
      <alignment vertical="center"/>
    </xf>
    <xf numFmtId="179" fontId="12" fillId="0" borderId="26" xfId="1" applyNumberFormat="1" applyFont="1" applyFill="1" applyBorder="1" applyAlignment="1">
      <alignment horizontal="right"/>
    </xf>
    <xf numFmtId="0" fontId="63" fillId="0" borderId="0" xfId="16" applyFont="1"/>
    <xf numFmtId="172" fontId="66" fillId="0" borderId="0" xfId="16" applyNumberFormat="1" applyFont="1" applyAlignment="1">
      <alignment horizontal="right"/>
    </xf>
    <xf numFmtId="0" fontId="59" fillId="0" borderId="0" xfId="15" applyFont="1"/>
    <xf numFmtId="0" fontId="66" fillId="0" borderId="0" xfId="16" applyFont="1"/>
    <xf numFmtId="169" fontId="66" fillId="0" borderId="0" xfId="10" applyFont="1"/>
    <xf numFmtId="169" fontId="63" fillId="0" borderId="26" xfId="16" applyNumberFormat="1" applyFont="1" applyBorder="1" applyAlignment="1">
      <alignment horizontal="right"/>
    </xf>
    <xf numFmtId="172" fontId="63" fillId="0" borderId="26" xfId="16" applyNumberFormat="1" applyFont="1" applyBorder="1" applyAlignment="1">
      <alignment horizontal="right"/>
    </xf>
    <xf numFmtId="169" fontId="63" fillId="0" borderId="2" xfId="16" applyNumberFormat="1" applyFont="1" applyBorder="1" applyAlignment="1">
      <alignment horizontal="right"/>
    </xf>
    <xf numFmtId="172" fontId="63" fillId="0" borderId="2" xfId="16" applyNumberFormat="1" applyFont="1" applyBorder="1" applyAlignment="1">
      <alignment horizontal="right"/>
    </xf>
    <xf numFmtId="169" fontId="63" fillId="0" borderId="0" xfId="16" applyNumberFormat="1" applyFont="1" applyBorder="1" applyAlignment="1">
      <alignment horizontal="right"/>
    </xf>
    <xf numFmtId="180" fontId="67" fillId="0" borderId="0" xfId="2" applyNumberFormat="1" applyFont="1" applyBorder="1" applyAlignment="1">
      <alignment horizontal="right"/>
    </xf>
    <xf numFmtId="180" fontId="67" fillId="0" borderId="0" xfId="2" applyNumberFormat="1" applyFont="1"/>
    <xf numFmtId="169" fontId="63" fillId="0" borderId="27" xfId="16" applyNumberFormat="1" applyFont="1" applyBorder="1" applyAlignment="1">
      <alignment horizontal="right"/>
    </xf>
    <xf numFmtId="172" fontId="63" fillId="0" borderId="27" xfId="16" applyNumberFormat="1" applyFont="1" applyBorder="1" applyAlignment="1">
      <alignment horizontal="right"/>
    </xf>
    <xf numFmtId="181" fontId="11" fillId="0" borderId="0" xfId="31" applyNumberFormat="1" applyFont="1" applyFill="1" applyBorder="1"/>
    <xf numFmtId="181" fontId="12" fillId="0" borderId="26" xfId="28" applyNumberFormat="1" applyFont="1" applyFill="1" applyBorder="1" applyAlignment="1">
      <alignment horizontal="right"/>
    </xf>
    <xf numFmtId="181" fontId="11" fillId="0" borderId="0" xfId="28" applyNumberFormat="1" applyFont="1" applyFill="1" applyBorder="1" applyAlignment="1">
      <alignment horizontal="right"/>
    </xf>
    <xf numFmtId="181" fontId="12" fillId="0" borderId="27" xfId="28" applyNumberFormat="1" applyFont="1" applyFill="1" applyBorder="1" applyAlignment="1">
      <alignment horizontal="right"/>
    </xf>
    <xf numFmtId="0" fontId="68" fillId="0" borderId="0" xfId="28" applyFont="1"/>
    <xf numFmtId="0" fontId="64" fillId="0" borderId="0" xfId="27" applyFont="1"/>
    <xf numFmtId="0" fontId="63" fillId="0" borderId="0" xfId="28" applyFont="1"/>
    <xf numFmtId="17" fontId="63" fillId="0" borderId="0" xfId="14" quotePrefix="1" applyNumberFormat="1" applyFont="1" applyAlignment="1">
      <alignment horizontal="center" vertical="center" wrapText="1"/>
    </xf>
    <xf numFmtId="17" fontId="63" fillId="0" borderId="26" xfId="14" quotePrefix="1" applyNumberFormat="1" applyFont="1" applyBorder="1" applyAlignment="1">
      <alignment horizontal="center" vertical="center" wrapText="1"/>
    </xf>
    <xf numFmtId="0" fontId="63" fillId="0" borderId="0" xfId="28" applyFont="1" applyBorder="1" applyAlignment="1">
      <alignment horizontal="center"/>
    </xf>
    <xf numFmtId="0" fontId="63" fillId="0" borderId="0" xfId="28" applyFont="1" applyAlignment="1">
      <alignment horizontal="center"/>
    </xf>
    <xf numFmtId="0" fontId="66" fillId="0" borderId="0" xfId="28" applyFont="1"/>
    <xf numFmtId="0" fontId="66" fillId="0" borderId="0" xfId="28" applyFont="1" applyBorder="1"/>
    <xf numFmtId="41" fontId="66" fillId="0" borderId="0" xfId="22" applyFont="1" applyAlignment="1">
      <alignment horizontal="right"/>
    </xf>
    <xf numFmtId="41" fontId="66" fillId="0" borderId="0" xfId="22" applyFont="1" applyBorder="1" applyAlignment="1">
      <alignment horizontal="right"/>
    </xf>
    <xf numFmtId="0" fontId="63" fillId="0" borderId="0" xfId="28" applyFont="1" applyAlignment="1">
      <alignment horizontal="justify"/>
    </xf>
    <xf numFmtId="172" fontId="63" fillId="0" borderId="28" xfId="28" applyNumberFormat="1" applyFont="1" applyBorder="1"/>
    <xf numFmtId="172" fontId="63" fillId="0" borderId="0" xfId="28" applyNumberFormat="1" applyFont="1" applyBorder="1"/>
    <xf numFmtId="3" fontId="9" fillId="0" borderId="0" xfId="27" applyNumberFormat="1"/>
    <xf numFmtId="3" fontId="9" fillId="0" borderId="0" xfId="27" applyNumberFormat="1" applyBorder="1"/>
    <xf numFmtId="0" fontId="69" fillId="0" borderId="0" xfId="28" applyFont="1"/>
    <xf numFmtId="41" fontId="66" fillId="0" borderId="0" xfId="22" applyFont="1" applyFill="1" applyAlignment="1">
      <alignment horizontal="right"/>
    </xf>
    <xf numFmtId="3" fontId="66" fillId="0" borderId="0" xfId="28" applyNumberFormat="1" applyFont="1" applyBorder="1" applyAlignment="1">
      <alignment horizontal="right"/>
    </xf>
    <xf numFmtId="171" fontId="59" fillId="0" borderId="0" xfId="22" applyNumberFormat="1" applyFont="1" applyFill="1" applyAlignment="1">
      <alignment horizontal="center"/>
    </xf>
    <xf numFmtId="171" fontId="59" fillId="0" borderId="0" xfId="22" applyNumberFormat="1" applyFont="1" applyBorder="1" applyAlignment="1">
      <alignment horizontal="center"/>
    </xf>
    <xf numFmtId="0" fontId="66" fillId="0" borderId="0" xfId="28" applyFont="1" applyAlignment="1">
      <alignment horizontal="justify"/>
    </xf>
    <xf numFmtId="0" fontId="59" fillId="0" borderId="0" xfId="27" applyFont="1"/>
    <xf numFmtId="179" fontId="18" fillId="4" borderId="0" xfId="1" applyNumberFormat="1" applyFont="1" applyFill="1"/>
    <xf numFmtId="164" fontId="18" fillId="0" borderId="0" xfId="2" applyFont="1" applyFill="1" applyBorder="1"/>
    <xf numFmtId="171" fontId="12" fillId="0" borderId="28" xfId="1" applyNumberFormat="1" applyFont="1" applyFill="1" applyBorder="1" applyAlignment="1">
      <alignment vertical="center"/>
    </xf>
    <xf numFmtId="41" fontId="5" fillId="4" borderId="0" xfId="2" applyNumberFormat="1" applyFont="1" applyFill="1" applyBorder="1" applyAlignment="1">
      <alignment horizontal="right"/>
    </xf>
    <xf numFmtId="0" fontId="5" fillId="4" borderId="0" xfId="18" applyFont="1" applyFill="1" applyAlignment="1">
      <alignment horizontal="right"/>
    </xf>
    <xf numFmtId="0" fontId="5" fillId="4" borderId="0" xfId="18" applyFont="1" applyFill="1" applyAlignment="1">
      <alignment horizontal="right" vertical="center"/>
    </xf>
    <xf numFmtId="164" fontId="18" fillId="4" borderId="0" xfId="5" applyNumberFormat="1" applyFont="1" applyFill="1"/>
    <xf numFmtId="0" fontId="70" fillId="0" borderId="0" xfId="0" applyFont="1"/>
    <xf numFmtId="179" fontId="70" fillId="0" borderId="0" xfId="1" applyNumberFormat="1" applyFont="1" applyAlignment="1">
      <alignment horizontal="center"/>
    </xf>
    <xf numFmtId="0" fontId="70" fillId="0" borderId="0" xfId="0" applyFont="1" applyAlignment="1">
      <alignment horizontal="center"/>
    </xf>
    <xf numFmtId="179" fontId="70" fillId="0" borderId="0" xfId="1" applyNumberFormat="1" applyFont="1"/>
    <xf numFmtId="166" fontId="70" fillId="0" borderId="0" xfId="1" applyNumberFormat="1" applyFont="1"/>
    <xf numFmtId="0" fontId="72" fillId="0" borderId="0" xfId="0" applyFont="1"/>
    <xf numFmtId="166" fontId="73" fillId="0" borderId="0" xfId="1" applyNumberFormat="1" applyFont="1"/>
    <xf numFmtId="0" fontId="71" fillId="7" borderId="0" xfId="0" applyFont="1" applyFill="1"/>
    <xf numFmtId="166" fontId="70" fillId="0" borderId="0" xfId="0" applyNumberFormat="1" applyFont="1"/>
    <xf numFmtId="165" fontId="70" fillId="0" borderId="0" xfId="1" applyFont="1"/>
    <xf numFmtId="179" fontId="70" fillId="0" borderId="0" xfId="0" applyNumberFormat="1" applyFont="1"/>
    <xf numFmtId="0" fontId="74" fillId="0" borderId="0" xfId="0" applyFont="1" applyAlignment="1">
      <alignment horizontal="center"/>
    </xf>
    <xf numFmtId="179" fontId="74" fillId="0" borderId="0" xfId="1" applyNumberFormat="1" applyFont="1" applyAlignment="1">
      <alignment horizontal="center"/>
    </xf>
    <xf numFmtId="179" fontId="72" fillId="0" borderId="0" xfId="1" applyNumberFormat="1" applyFont="1"/>
    <xf numFmtId="179" fontId="73" fillId="0" borderId="0" xfId="1" applyNumberFormat="1" applyFont="1"/>
    <xf numFmtId="179" fontId="73" fillId="0" borderId="0" xfId="0" applyNumberFormat="1" applyFont="1"/>
    <xf numFmtId="179" fontId="75" fillId="0" borderId="0" xfId="1" applyNumberFormat="1" applyFont="1"/>
    <xf numFmtId="166" fontId="72" fillId="0" borderId="0" xfId="1" applyNumberFormat="1" applyFont="1"/>
    <xf numFmtId="0" fontId="71" fillId="7" borderId="0" xfId="0" applyFont="1" applyFill="1" applyAlignment="1">
      <alignment horizontal="justify" vertical="top"/>
    </xf>
    <xf numFmtId="172" fontId="71" fillId="7" borderId="0" xfId="44" applyNumberFormat="1" applyFont="1" applyFill="1" applyAlignment="1"/>
    <xf numFmtId="0" fontId="76" fillId="15" borderId="0" xfId="0" applyFont="1" applyFill="1"/>
    <xf numFmtId="0" fontId="77" fillId="0" borderId="0" xfId="0" applyFont="1" applyAlignment="1">
      <alignment horizontal="right"/>
    </xf>
    <xf numFmtId="166" fontId="75" fillId="0" borderId="0" xfId="1" applyNumberFormat="1" applyFont="1"/>
    <xf numFmtId="0" fontId="78" fillId="16" borderId="0" xfId="45" applyFont="1" applyFill="1"/>
    <xf numFmtId="0" fontId="79" fillId="16" borderId="0" xfId="45" applyFont="1" applyFill="1"/>
    <xf numFmtId="172" fontId="78" fillId="16" borderId="0" xfId="45" applyNumberFormat="1" applyFont="1" applyFill="1"/>
    <xf numFmtId="172" fontId="78" fillId="16" borderId="0" xfId="46" applyNumberFormat="1" applyFont="1" applyFill="1"/>
    <xf numFmtId="0" fontId="81" fillId="16" borderId="0" xfId="45" applyFont="1" applyFill="1" applyAlignment="1">
      <alignment horizontal="center"/>
    </xf>
    <xf numFmtId="0" fontId="78" fillId="16" borderId="0" xfId="47" applyFont="1" applyFill="1" applyAlignment="1">
      <alignment horizontal="left"/>
    </xf>
    <xf numFmtId="0" fontId="82" fillId="16" borderId="0" xfId="47" applyFont="1" applyFill="1"/>
    <xf numFmtId="0" fontId="81" fillId="16" borderId="0" xfId="47" applyFont="1" applyFill="1" applyAlignment="1">
      <alignment horizontal="center"/>
    </xf>
    <xf numFmtId="0" fontId="83" fillId="17" borderId="30" xfId="48" applyFont="1" applyFill="1" applyBorder="1" applyAlignment="1">
      <alignment horizontal="center" wrapText="1"/>
    </xf>
    <xf numFmtId="0" fontId="83" fillId="17" borderId="0" xfId="48" applyFont="1" applyFill="1" applyAlignment="1">
      <alignment horizontal="center" wrapText="1"/>
    </xf>
    <xf numFmtId="1" fontId="82" fillId="18" borderId="4" xfId="45" applyNumberFormat="1" applyFont="1" applyFill="1" applyBorder="1" applyAlignment="1">
      <alignment horizontal="center" vertical="center"/>
    </xf>
    <xf numFmtId="1" fontId="82" fillId="18" borderId="18" xfId="45" applyNumberFormat="1" applyFont="1" applyFill="1" applyBorder="1" applyAlignment="1">
      <alignment horizontal="center" vertical="center" wrapText="1"/>
    </xf>
    <xf numFmtId="1" fontId="82" fillId="18" borderId="4" xfId="45" applyNumberFormat="1" applyFont="1" applyFill="1" applyBorder="1" applyAlignment="1">
      <alignment horizontal="center" vertical="center" wrapText="1"/>
    </xf>
    <xf numFmtId="0" fontId="78" fillId="16" borderId="0" xfId="47" applyFont="1" applyFill="1" applyAlignment="1">
      <alignment horizontal="center"/>
    </xf>
    <xf numFmtId="1" fontId="82" fillId="18" borderId="30" xfId="45" applyNumberFormat="1" applyFont="1" applyFill="1" applyBorder="1" applyAlignment="1">
      <alignment horizontal="center" vertical="center" wrapText="1"/>
    </xf>
    <xf numFmtId="0" fontId="78" fillId="18" borderId="4" xfId="48" applyFont="1" applyFill="1" applyBorder="1" applyAlignment="1">
      <alignment horizontal="center" vertical="center" wrapText="1"/>
    </xf>
    <xf numFmtId="0" fontId="78" fillId="18" borderId="26" xfId="48" applyFont="1" applyFill="1" applyBorder="1" applyAlignment="1">
      <alignment horizontal="center" vertical="center" wrapText="1"/>
    </xf>
    <xf numFmtId="0" fontId="78" fillId="18" borderId="4" xfId="45" applyFont="1" applyFill="1" applyBorder="1" applyAlignment="1">
      <alignment horizontal="center" vertical="center"/>
    </xf>
    <xf numFmtId="0" fontId="78" fillId="16" borderId="0" xfId="45" applyFont="1" applyFill="1" applyAlignment="1">
      <alignment vertical="center"/>
    </xf>
    <xf numFmtId="0" fontId="82" fillId="18" borderId="29" xfId="45" applyFont="1" applyFill="1" applyBorder="1" applyAlignment="1">
      <alignment horizontal="left" vertical="center"/>
    </xf>
    <xf numFmtId="0" fontId="78" fillId="16" borderId="12" xfId="45" applyFont="1" applyFill="1" applyBorder="1"/>
    <xf numFmtId="172" fontId="78" fillId="16" borderId="10" xfId="49" applyNumberFormat="1" applyFont="1" applyFill="1" applyBorder="1"/>
    <xf numFmtId="172" fontId="78" fillId="16" borderId="12" xfId="49" applyNumberFormat="1" applyFont="1" applyFill="1" applyBorder="1"/>
    <xf numFmtId="172" fontId="78" fillId="16" borderId="12" xfId="46" applyNumberFormat="1" applyFont="1" applyFill="1" applyBorder="1"/>
    <xf numFmtId="0" fontId="78" fillId="0" borderId="12" xfId="45" applyFont="1" applyBorder="1"/>
    <xf numFmtId="0" fontId="78" fillId="16" borderId="10" xfId="45" applyFont="1" applyFill="1" applyBorder="1"/>
    <xf numFmtId="0" fontId="78" fillId="16" borderId="19" xfId="45" applyFont="1" applyFill="1" applyBorder="1"/>
    <xf numFmtId="49" fontId="78" fillId="0" borderId="0" xfId="50" applyNumberFormat="1" applyFont="1"/>
    <xf numFmtId="172" fontId="78" fillId="16" borderId="15" xfId="51" applyNumberFormat="1" applyFont="1" applyFill="1" applyBorder="1"/>
    <xf numFmtId="172" fontId="78" fillId="16" borderId="13" xfId="49" applyNumberFormat="1" applyFont="1" applyFill="1" applyBorder="1"/>
    <xf numFmtId="172" fontId="78" fillId="16" borderId="15" xfId="49" applyNumberFormat="1" applyFont="1" applyFill="1" applyBorder="1"/>
    <xf numFmtId="172" fontId="78" fillId="16" borderId="15" xfId="45" applyNumberFormat="1" applyFont="1" applyFill="1" applyBorder="1"/>
    <xf numFmtId="172" fontId="78" fillId="0" borderId="15" xfId="45" applyNumberFormat="1" applyFont="1" applyBorder="1"/>
    <xf numFmtId="172" fontId="78" fillId="7" borderId="15" xfId="45" applyNumberFormat="1" applyFont="1" applyFill="1" applyBorder="1"/>
    <xf numFmtId="0" fontId="78" fillId="16" borderId="13" xfId="45" applyFont="1" applyFill="1" applyBorder="1"/>
    <xf numFmtId="0" fontId="78" fillId="16" borderId="15" xfId="45" applyFont="1" applyFill="1" applyBorder="1"/>
    <xf numFmtId="172" fontId="78" fillId="16" borderId="0" xfId="52" applyNumberFormat="1" applyFont="1" applyFill="1"/>
    <xf numFmtId="172" fontId="78" fillId="16" borderId="14" xfId="49" applyNumberFormat="1" applyFont="1" applyFill="1" applyBorder="1"/>
    <xf numFmtId="172" fontId="78" fillId="16" borderId="13" xfId="45" applyNumberFormat="1" applyFont="1" applyFill="1" applyBorder="1"/>
    <xf numFmtId="3" fontId="78" fillId="16" borderId="0" xfId="45" applyNumberFormat="1" applyFont="1" applyFill="1"/>
    <xf numFmtId="172" fontId="78" fillId="0" borderId="15" xfId="51" applyNumberFormat="1" applyFont="1" applyFill="1" applyBorder="1"/>
    <xf numFmtId="172" fontId="78" fillId="0" borderId="15" xfId="49" applyNumberFormat="1" applyFont="1" applyFill="1" applyBorder="1"/>
    <xf numFmtId="0" fontId="82" fillId="18" borderId="4" xfId="45" applyFont="1" applyFill="1" applyBorder="1" applyAlignment="1">
      <alignment horizontal="left" vertical="center"/>
    </xf>
    <xf numFmtId="49" fontId="78" fillId="0" borderId="0" xfId="18" applyNumberFormat="1" applyFont="1"/>
    <xf numFmtId="172" fontId="78" fillId="0" borderId="14" xfId="49" applyNumberFormat="1" applyFont="1" applyFill="1" applyBorder="1"/>
    <xf numFmtId="0" fontId="82" fillId="16" borderId="0" xfId="45" applyFont="1" applyFill="1"/>
    <xf numFmtId="182" fontId="78" fillId="0" borderId="15" xfId="45" applyNumberFormat="1" applyFont="1" applyBorder="1"/>
    <xf numFmtId="172" fontId="78" fillId="16" borderId="0" xfId="49" applyNumberFormat="1" applyFont="1" applyFill="1"/>
    <xf numFmtId="0" fontId="78" fillId="0" borderId="15" xfId="45" applyFont="1" applyBorder="1"/>
    <xf numFmtId="0" fontId="78" fillId="7" borderId="0" xfId="18" applyFont="1" applyFill="1" applyAlignment="1">
      <alignment horizontal="left"/>
    </xf>
    <xf numFmtId="172" fontId="78" fillId="19" borderId="15" xfId="51" applyNumberFormat="1" applyFont="1" applyFill="1" applyBorder="1"/>
    <xf numFmtId="49" fontId="78" fillId="7" borderId="0" xfId="53" applyNumberFormat="1" applyFont="1" applyFill="1" applyBorder="1" applyAlignment="1">
      <alignment wrapText="1"/>
    </xf>
    <xf numFmtId="49" fontId="78" fillId="7" borderId="0" xfId="53" applyNumberFormat="1" applyFont="1" applyFill="1" applyBorder="1" applyAlignment="1"/>
    <xf numFmtId="0" fontId="78" fillId="16" borderId="18" xfId="45" applyFont="1" applyFill="1" applyBorder="1"/>
    <xf numFmtId="172" fontId="78" fillId="0" borderId="18" xfId="51" applyNumberFormat="1" applyFont="1" applyFill="1" applyBorder="1"/>
    <xf numFmtId="172" fontId="78" fillId="16" borderId="16" xfId="49" applyNumberFormat="1" applyFont="1" applyFill="1" applyBorder="1"/>
    <xf numFmtId="172" fontId="78" fillId="16" borderId="18" xfId="49" applyNumberFormat="1" applyFont="1" applyFill="1" applyBorder="1"/>
    <xf numFmtId="172" fontId="78" fillId="16" borderId="17" xfId="49" applyNumberFormat="1" applyFont="1" applyFill="1" applyBorder="1"/>
    <xf numFmtId="172" fontId="78" fillId="19" borderId="18" xfId="51" applyNumberFormat="1" applyFont="1" applyFill="1" applyBorder="1"/>
    <xf numFmtId="166" fontId="78" fillId="16" borderId="0" xfId="54" applyNumberFormat="1" applyFont="1" applyFill="1"/>
    <xf numFmtId="166" fontId="82" fillId="0" borderId="28" xfId="54" applyNumberFormat="1" applyFont="1" applyBorder="1"/>
    <xf numFmtId="166" fontId="82" fillId="16" borderId="28" xfId="54" applyNumberFormat="1" applyFont="1" applyFill="1" applyBorder="1"/>
    <xf numFmtId="166" fontId="82" fillId="16" borderId="0" xfId="54" applyNumberFormat="1" applyFont="1" applyFill="1"/>
    <xf numFmtId="166" fontId="82" fillId="16" borderId="4" xfId="54" applyNumberFormat="1" applyFont="1" applyFill="1" applyBorder="1"/>
    <xf numFmtId="166" fontId="82" fillId="19" borderId="4" xfId="54" applyNumberFormat="1" applyFont="1" applyFill="1" applyBorder="1"/>
    <xf numFmtId="166" fontId="82" fillId="16" borderId="31" xfId="54" applyNumberFormat="1" applyFont="1" applyFill="1" applyBorder="1"/>
    <xf numFmtId="166" fontId="82" fillId="19" borderId="28" xfId="54" applyNumberFormat="1" applyFont="1" applyFill="1" applyBorder="1"/>
    <xf numFmtId="172" fontId="78" fillId="0" borderId="0" xfId="45" applyNumberFormat="1" applyFont="1"/>
    <xf numFmtId="0" fontId="78" fillId="0" borderId="0" xfId="45" applyFont="1"/>
    <xf numFmtId="172" fontId="78" fillId="0" borderId="0" xfId="46" applyNumberFormat="1" applyFont="1" applyFill="1"/>
    <xf numFmtId="3" fontId="78" fillId="7" borderId="0" xfId="45" applyNumberFormat="1" applyFont="1" applyFill="1"/>
    <xf numFmtId="172" fontId="85" fillId="0" borderId="0" xfId="45" applyNumberFormat="1" applyFont="1"/>
    <xf numFmtId="166" fontId="86" fillId="14" borderId="0" xfId="55" applyNumberFormat="1" applyFont="1" applyFill="1"/>
    <xf numFmtId="0" fontId="87" fillId="12" borderId="0" xfId="45" applyFont="1" applyFill="1"/>
    <xf numFmtId="0" fontId="82" fillId="7" borderId="0" xfId="45" applyFont="1" applyFill="1"/>
    <xf numFmtId="172" fontId="82" fillId="7" borderId="0" xfId="51" applyNumberFormat="1" applyFont="1" applyFill="1" applyBorder="1"/>
    <xf numFmtId="166" fontId="86" fillId="0" borderId="0" xfId="55" applyNumberFormat="1" applyFont="1" applyFill="1"/>
    <xf numFmtId="172" fontId="82" fillId="16" borderId="0" xfId="45" applyNumberFormat="1" applyFont="1" applyFill="1"/>
    <xf numFmtId="172" fontId="78" fillId="0" borderId="0" xfId="49" applyNumberFormat="1" applyFont="1" applyFill="1"/>
    <xf numFmtId="0" fontId="78" fillId="7" borderId="0" xfId="56" applyFont="1" applyFill="1" applyAlignment="1"/>
    <xf numFmtId="172" fontId="78" fillId="7" borderId="0" xfId="46" applyNumberFormat="1" applyFont="1" applyFill="1" applyBorder="1"/>
    <xf numFmtId="0" fontId="82" fillId="16" borderId="0" xfId="45" applyFont="1" applyFill="1" applyAlignment="1">
      <alignment horizontal="center"/>
    </xf>
    <xf numFmtId="37" fontId="78" fillId="16" borderId="0" xfId="45" applyNumberFormat="1" applyFont="1" applyFill="1"/>
    <xf numFmtId="0" fontId="88" fillId="13" borderId="0" xfId="57" applyFont="1" applyFill="1" applyAlignment="1">
      <alignment vertical="top" wrapText="1"/>
    </xf>
    <xf numFmtId="0" fontId="78" fillId="16" borderId="0" xfId="45" quotePrefix="1" applyFont="1" applyFill="1"/>
    <xf numFmtId="0" fontId="88" fillId="13" borderId="0" xfId="57" applyFont="1" applyFill="1" applyAlignment="1">
      <alignment horizontal="left"/>
    </xf>
    <xf numFmtId="179" fontId="18" fillId="0" borderId="0" xfId="1" applyNumberFormat="1" applyFont="1" applyFill="1" applyBorder="1"/>
    <xf numFmtId="179" fontId="72" fillId="0" borderId="0" xfId="0" applyNumberFormat="1" applyFont="1"/>
    <xf numFmtId="0" fontId="72" fillId="14" borderId="0" xfId="0" applyFont="1" applyFill="1"/>
    <xf numFmtId="179" fontId="72" fillId="14" borderId="0" xfId="1" applyNumberFormat="1" applyFont="1" applyFill="1"/>
    <xf numFmtId="0" fontId="70" fillId="14" borderId="0" xfId="0" applyFont="1" applyFill="1"/>
    <xf numFmtId="164" fontId="11" fillId="0" borderId="0" xfId="23" applyNumberFormat="1" applyFont="1"/>
    <xf numFmtId="3" fontId="11" fillId="0" borderId="0" xfId="23" applyNumberFormat="1" applyFont="1"/>
    <xf numFmtId="3" fontId="11" fillId="0" borderId="0" xfId="0" applyNumberFormat="1" applyFont="1"/>
    <xf numFmtId="0" fontId="70" fillId="14" borderId="0" xfId="0" applyFont="1" applyFill="1" applyAlignment="1">
      <alignment horizontal="left"/>
    </xf>
    <xf numFmtId="171" fontId="8" fillId="0" borderId="26" xfId="1" applyNumberFormat="1" applyFont="1" applyFill="1" applyBorder="1"/>
    <xf numFmtId="0" fontId="75" fillId="0" borderId="0" xfId="0" applyFont="1"/>
    <xf numFmtId="172" fontId="11" fillId="0" borderId="0" xfId="27" applyNumberFormat="1" applyFont="1" applyFill="1" applyBorder="1"/>
    <xf numFmtId="179" fontId="16" fillId="0" borderId="0" xfId="1" applyNumberFormat="1" applyFont="1"/>
    <xf numFmtId="179" fontId="25" fillId="0" borderId="0" xfId="1" applyNumberFormat="1" applyFont="1"/>
    <xf numFmtId="164" fontId="72" fillId="0" borderId="0" xfId="2" applyFont="1"/>
    <xf numFmtId="166" fontId="25" fillId="0" borderId="0" xfId="0" applyNumberFormat="1" applyFont="1"/>
    <xf numFmtId="179" fontId="70" fillId="14" borderId="0" xfId="1" applyNumberFormat="1" applyFont="1" applyFill="1"/>
    <xf numFmtId="164" fontId="78" fillId="16" borderId="0" xfId="2" applyFont="1" applyFill="1"/>
    <xf numFmtId="164" fontId="78" fillId="0" borderId="15" xfId="2" applyFont="1" applyFill="1" applyBorder="1"/>
    <xf numFmtId="164" fontId="78" fillId="16" borderId="12" xfId="2" applyFont="1" applyFill="1" applyBorder="1"/>
    <xf numFmtId="164" fontId="78" fillId="16" borderId="15" xfId="2" applyFont="1" applyFill="1" applyBorder="1"/>
    <xf numFmtId="164" fontId="11" fillId="0" borderId="0" xfId="2" applyFont="1" applyFill="1" applyBorder="1"/>
    <xf numFmtId="171" fontId="46" fillId="0" borderId="0" xfId="0" applyNumberFormat="1" applyFont="1" applyAlignment="1">
      <alignment horizontal="right"/>
    </xf>
    <xf numFmtId="171" fontId="27" fillId="0" borderId="0" xfId="14" applyNumberFormat="1" applyFont="1" applyAlignment="1">
      <alignment horizontal="center" vertical="top" wrapText="1"/>
    </xf>
    <xf numFmtId="171" fontId="27" fillId="0" borderId="0" xfId="14" applyNumberFormat="1" applyFont="1" applyAlignment="1">
      <alignment vertical="center"/>
    </xf>
    <xf numFmtId="171" fontId="13" fillId="5" borderId="26" xfId="14" quotePrefix="1" applyNumberFormat="1" applyFont="1" applyFill="1" applyBorder="1" applyAlignment="1">
      <alignment horizontal="center" vertical="center" wrapText="1"/>
    </xf>
    <xf numFmtId="171" fontId="12" fillId="0" borderId="0" xfId="14" applyNumberFormat="1" applyFont="1" applyAlignment="1">
      <alignment horizontal="center" vertical="center" wrapText="1"/>
    </xf>
    <xf numFmtId="171" fontId="12" fillId="0" borderId="19" xfId="2" applyNumberFormat="1" applyFont="1" applyFill="1" applyBorder="1" applyAlignment="1">
      <alignment horizontal="center" vertical="center" wrapText="1"/>
    </xf>
    <xf numFmtId="171" fontId="47" fillId="0" borderId="0" xfId="3" applyNumberFormat="1" applyFont="1" applyFill="1" applyBorder="1" applyAlignment="1">
      <alignment horizontal="right" vertical="center" wrapText="1"/>
    </xf>
    <xf numFmtId="171" fontId="12" fillId="0" borderId="27" xfId="2" applyNumberFormat="1" applyFont="1" applyFill="1" applyBorder="1"/>
    <xf numFmtId="171" fontId="12" fillId="0" borderId="27" xfId="14" applyNumberFormat="1" applyFont="1" applyBorder="1" applyAlignment="1">
      <alignment vertical="center" wrapText="1"/>
    </xf>
    <xf numFmtId="171" fontId="12" fillId="0" borderId="0" xfId="14" applyNumberFormat="1" applyFont="1" applyAlignment="1">
      <alignment vertical="center" wrapText="1"/>
    </xf>
    <xf numFmtId="179" fontId="72" fillId="20" borderId="0" xfId="1" applyNumberFormat="1" applyFont="1" applyFill="1"/>
    <xf numFmtId="179" fontId="72" fillId="0" borderId="0" xfId="1" applyNumberFormat="1" applyFont="1" applyFill="1"/>
    <xf numFmtId="179" fontId="72" fillId="21" borderId="0" xfId="1" applyNumberFormat="1" applyFont="1" applyFill="1"/>
    <xf numFmtId="165" fontId="72" fillId="21" borderId="0" xfId="1" applyFont="1" applyFill="1"/>
    <xf numFmtId="0" fontId="72" fillId="21" borderId="0" xfId="0" applyFont="1" applyFill="1"/>
    <xf numFmtId="165" fontId="72" fillId="0" borderId="0" xfId="1" applyFont="1" applyFill="1"/>
    <xf numFmtId="179" fontId="90" fillId="22" borderId="0" xfId="1" applyNumberFormat="1" applyFont="1" applyFill="1"/>
    <xf numFmtId="179" fontId="89" fillId="0" borderId="0" xfId="1" applyNumberFormat="1" applyFont="1" applyFill="1"/>
    <xf numFmtId="164" fontId="25" fillId="0" borderId="0" xfId="2" applyFont="1"/>
    <xf numFmtId="179" fontId="91" fillId="23" borderId="0" xfId="1" applyNumberFormat="1" applyFont="1" applyFill="1"/>
    <xf numFmtId="179" fontId="70" fillId="23" borderId="0" xfId="1" applyNumberFormat="1" applyFont="1" applyFill="1"/>
    <xf numFmtId="179" fontId="91" fillId="0" borderId="0" xfId="1" applyNumberFormat="1" applyFont="1" applyFill="1"/>
    <xf numFmtId="179" fontId="91" fillId="24" borderId="0" xfId="1" applyNumberFormat="1" applyFont="1" applyFill="1"/>
    <xf numFmtId="166" fontId="70" fillId="0" borderId="0" xfId="1" applyNumberFormat="1" applyFont="1" applyFill="1"/>
    <xf numFmtId="179" fontId="91" fillId="25" borderId="0" xfId="1" applyNumberFormat="1" applyFont="1" applyFill="1"/>
    <xf numFmtId="179" fontId="70" fillId="25" borderId="0" xfId="1" applyNumberFormat="1" applyFont="1" applyFill="1"/>
    <xf numFmtId="0" fontId="70" fillId="21" borderId="0" xfId="0" applyFont="1" applyFill="1"/>
    <xf numFmtId="0" fontId="5" fillId="21" borderId="0" xfId="18" applyFont="1" applyFill="1"/>
    <xf numFmtId="166" fontId="70" fillId="26" borderId="0" xfId="1" applyNumberFormat="1" applyFont="1" applyFill="1"/>
    <xf numFmtId="0" fontId="64" fillId="0" borderId="0" xfId="27" applyFont="1" applyFill="1"/>
    <xf numFmtId="172" fontId="63" fillId="0" borderId="28" xfId="28" applyNumberFormat="1" applyFont="1" applyFill="1" applyBorder="1"/>
    <xf numFmtId="164" fontId="16" fillId="0" borderId="0" xfId="2" applyFont="1"/>
    <xf numFmtId="10" fontId="16" fillId="0" borderId="0" xfId="3" applyNumberFormat="1" applyFont="1"/>
    <xf numFmtId="0" fontId="5" fillId="0" borderId="0" xfId="4" applyFont="1" applyAlignment="1">
      <alignment horizontal="center"/>
    </xf>
    <xf numFmtId="0" fontId="5" fillId="0" borderId="4" xfId="4" applyFont="1" applyBorder="1" applyAlignment="1">
      <alignment horizontal="left" vertical="center" wrapText="1"/>
    </xf>
    <xf numFmtId="0" fontId="6" fillId="0" borderId="3" xfId="4" applyFont="1" applyBorder="1" applyAlignment="1">
      <alignment horizontal="left" vertical="center"/>
    </xf>
    <xf numFmtId="0" fontId="6" fillId="2" borderId="8" xfId="4" applyFont="1" applyFill="1" applyBorder="1" applyAlignment="1">
      <alignment horizontal="right" vertical="center" wrapText="1"/>
    </xf>
    <xf numFmtId="0" fontId="6" fillId="2" borderId="9" xfId="4" applyFont="1" applyFill="1" applyBorder="1" applyAlignment="1">
      <alignment horizontal="right" vertical="center" wrapText="1"/>
    </xf>
    <xf numFmtId="0" fontId="6" fillId="0" borderId="0" xfId="4" applyFont="1" applyAlignment="1">
      <alignment horizontal="center" vertical="center" wrapText="1"/>
    </xf>
    <xf numFmtId="0" fontId="7" fillId="0" borderId="2" xfId="4" applyFont="1" applyBorder="1" applyAlignment="1">
      <alignment horizontal="left" vertical="center" wrapText="1"/>
    </xf>
    <xf numFmtId="0" fontId="7" fillId="0" borderId="3" xfId="4" applyFont="1" applyBorder="1" applyAlignment="1">
      <alignment horizontal="left" vertical="center"/>
    </xf>
    <xf numFmtId="0" fontId="6" fillId="0" borderId="3" xfId="4" applyFont="1" applyBorder="1" applyAlignment="1">
      <alignment horizontal="left" vertical="center" wrapText="1"/>
    </xf>
    <xf numFmtId="0" fontId="8" fillId="2" borderId="4" xfId="4" applyFont="1" applyFill="1" applyBorder="1" applyAlignment="1">
      <alignment horizontal="center" vertical="center" wrapText="1"/>
    </xf>
    <xf numFmtId="0" fontId="18" fillId="0" borderId="13" xfId="5" applyFont="1" applyBorder="1" applyAlignment="1">
      <alignment horizontal="center" vertical="center"/>
    </xf>
    <xf numFmtId="0" fontId="18" fillId="0" borderId="0" xfId="5" applyFont="1" applyAlignment="1">
      <alignment horizontal="center" vertical="center"/>
    </xf>
    <xf numFmtId="0" fontId="18" fillId="0" borderId="14" xfId="5" applyFont="1" applyBorder="1" applyAlignment="1">
      <alignment horizontal="center" vertical="center"/>
    </xf>
    <xf numFmtId="0" fontId="17" fillId="0" borderId="0" xfId="5" applyFont="1" applyAlignment="1">
      <alignment horizontal="left" vertical="center"/>
    </xf>
    <xf numFmtId="0" fontId="18" fillId="0" borderId="25" xfId="5" applyFont="1" applyBorder="1" applyAlignment="1">
      <alignment horizontal="left" vertical="center"/>
    </xf>
    <xf numFmtId="0" fontId="18" fillId="0" borderId="3" xfId="5" applyFont="1" applyBorder="1" applyAlignment="1">
      <alignment horizontal="left" vertical="center"/>
    </xf>
    <xf numFmtId="0" fontId="18" fillId="0" borderId="7" xfId="5" applyFont="1" applyBorder="1" applyAlignment="1">
      <alignment horizontal="left" vertical="center"/>
    </xf>
    <xf numFmtId="0" fontId="18" fillId="0" borderId="23" xfId="5" applyFont="1" applyBorder="1" applyAlignment="1">
      <alignment horizontal="left" vertical="center" wrapText="1"/>
    </xf>
    <xf numFmtId="0" fontId="18" fillId="0" borderId="0" xfId="5" applyFont="1" applyAlignment="1">
      <alignment horizontal="left" vertical="center" wrapText="1"/>
    </xf>
    <xf numFmtId="0" fontId="18" fillId="0" borderId="24" xfId="5" applyFont="1" applyBorder="1" applyAlignment="1">
      <alignment horizontal="left" vertical="center" wrapText="1"/>
    </xf>
    <xf numFmtId="0" fontId="18" fillId="0" borderId="0" xfId="5" applyFont="1" applyAlignment="1">
      <alignment horizontal="left" vertical="center"/>
    </xf>
    <xf numFmtId="0" fontId="18" fillId="0" borderId="24" xfId="5" applyFont="1" applyBorder="1" applyAlignment="1">
      <alignment horizontal="left" vertical="center"/>
    </xf>
    <xf numFmtId="49" fontId="21" fillId="0" borderId="2" xfId="9" applyNumberFormat="1" applyFont="1" applyBorder="1" applyAlignment="1">
      <alignment horizontal="center" vertical="center"/>
    </xf>
    <xf numFmtId="0" fontId="21" fillId="0" borderId="0" xfId="10" quotePrefix="1" applyNumberFormat="1" applyFont="1" applyFill="1" applyBorder="1" applyAlignment="1">
      <alignment horizontal="center" vertical="center"/>
    </xf>
    <xf numFmtId="0" fontId="17" fillId="0" borderId="23" xfId="5" applyFont="1" applyBorder="1" applyAlignment="1">
      <alignment horizontal="left" vertical="center" wrapText="1"/>
    </xf>
    <xf numFmtId="168" fontId="21" fillId="0" borderId="2" xfId="9" applyFont="1" applyBorder="1" applyAlignment="1">
      <alignment horizontal="center" wrapText="1"/>
    </xf>
    <xf numFmtId="0" fontId="19" fillId="5" borderId="13" xfId="5" applyFont="1" applyFill="1" applyBorder="1" applyAlignment="1">
      <alignment horizontal="left" vertical="center"/>
    </xf>
    <xf numFmtId="0" fontId="19" fillId="5" borderId="0" xfId="5" applyFont="1" applyFill="1" applyAlignment="1">
      <alignment horizontal="left" vertical="center"/>
    </xf>
    <xf numFmtId="0" fontId="19" fillId="5" borderId="14" xfId="5" applyFont="1" applyFill="1" applyBorder="1" applyAlignment="1">
      <alignment horizontal="left" vertical="center"/>
    </xf>
    <xf numFmtId="0" fontId="17" fillId="0" borderId="20" xfId="5" applyFont="1" applyBorder="1" applyAlignment="1">
      <alignment horizontal="left" vertical="center"/>
    </xf>
    <xf numFmtId="0" fontId="17" fillId="0" borderId="21" xfId="5" applyFont="1" applyBorder="1" applyAlignment="1">
      <alignment horizontal="left" vertical="center"/>
    </xf>
    <xf numFmtId="0" fontId="17" fillId="0" borderId="22" xfId="5" applyFont="1" applyBorder="1" applyAlignment="1">
      <alignment horizontal="left" vertical="center"/>
    </xf>
    <xf numFmtId="0" fontId="18" fillId="0" borderId="23" xfId="5" applyFont="1" applyBorder="1" applyAlignment="1">
      <alignment horizontal="left" vertical="top" wrapText="1"/>
    </xf>
    <xf numFmtId="0" fontId="18" fillId="0" borderId="0" xfId="5" applyFont="1" applyAlignment="1">
      <alignment horizontal="left" vertical="top" wrapText="1"/>
    </xf>
    <xf numFmtId="0" fontId="18" fillId="0" borderId="24" xfId="5" applyFont="1" applyBorder="1" applyAlignment="1">
      <alignment horizontal="left" vertical="top" wrapText="1"/>
    </xf>
    <xf numFmtId="0" fontId="24" fillId="0" borderId="0" xfId="14" applyFont="1" applyAlignment="1">
      <alignment horizontal="right" vertical="center"/>
    </xf>
    <xf numFmtId="0" fontId="26" fillId="0" borderId="0" xfId="14" applyFont="1" applyAlignment="1">
      <alignment horizontal="right" vertical="center"/>
    </xf>
    <xf numFmtId="0" fontId="27" fillId="0" borderId="0" xfId="14" applyFont="1" applyAlignment="1">
      <alignment horizontal="left" vertical="center" wrapText="1"/>
    </xf>
    <xf numFmtId="0" fontId="36" fillId="6" borderId="0" xfId="17" applyFont="1" applyFill="1" applyBorder="1" applyAlignment="1">
      <alignment horizontal="left"/>
    </xf>
    <xf numFmtId="0" fontId="36" fillId="5" borderId="0" xfId="17" applyFont="1" applyFill="1" applyBorder="1" applyAlignment="1">
      <alignment horizontal="left"/>
    </xf>
    <xf numFmtId="0" fontId="8" fillId="9" borderId="0" xfId="0" applyFont="1" applyFill="1"/>
    <xf numFmtId="0" fontId="11" fillId="0" borderId="0" xfId="0" applyFont="1"/>
    <xf numFmtId="0" fontId="12" fillId="0" borderId="26" xfId="28" applyFont="1" applyFill="1" applyBorder="1" applyAlignment="1">
      <alignment horizontal="center"/>
    </xf>
    <xf numFmtId="17" fontId="12" fillId="0" borderId="26" xfId="14" quotePrefix="1" applyNumberFormat="1" applyFont="1" applyBorder="1" applyAlignment="1">
      <alignment horizontal="center" vertical="center" wrapText="1"/>
    </xf>
    <xf numFmtId="0" fontId="36" fillId="5" borderId="0" xfId="17" applyFont="1" applyFill="1" applyBorder="1" applyAlignment="1">
      <alignment horizontal="left" vertical="top" wrapText="1"/>
    </xf>
    <xf numFmtId="0" fontId="13" fillId="5" borderId="0" xfId="5" applyFont="1" applyFill="1" applyAlignment="1">
      <alignment horizontal="left" vertical="center"/>
    </xf>
    <xf numFmtId="0" fontId="11" fillId="4" borderId="0" xfId="5" applyFont="1" applyFill="1" applyAlignment="1">
      <alignment horizontal="center"/>
    </xf>
    <xf numFmtId="0" fontId="18" fillId="4" borderId="0" xfId="5" applyFont="1" applyFill="1" applyAlignment="1">
      <alignment horizontal="justify" wrapText="1"/>
    </xf>
    <xf numFmtId="0" fontId="18" fillId="0" borderId="0" xfId="0" applyFont="1" applyAlignment="1">
      <alignment horizontal="justify" vertical="top" wrapText="1"/>
    </xf>
    <xf numFmtId="0" fontId="24" fillId="0" borderId="0" xfId="0" applyFont="1" applyAlignment="1">
      <alignment horizontal="right"/>
    </xf>
    <xf numFmtId="0" fontId="26" fillId="0" borderId="0" xfId="0" applyFont="1" applyAlignment="1">
      <alignment horizontal="right"/>
    </xf>
    <xf numFmtId="0" fontId="27" fillId="0" borderId="0" xfId="14" applyFont="1" applyAlignment="1">
      <alignment horizontal="left" vertical="top" wrapText="1"/>
    </xf>
    <xf numFmtId="0" fontId="83" fillId="17" borderId="16" xfId="47" applyFont="1" applyFill="1" applyBorder="1" applyAlignment="1">
      <alignment horizontal="center" vertical="center"/>
    </xf>
    <xf numFmtId="0" fontId="83" fillId="17" borderId="2" xfId="47" applyFont="1" applyFill="1" applyBorder="1" applyAlignment="1">
      <alignment horizontal="center" vertical="center"/>
    </xf>
    <xf numFmtId="3" fontId="84" fillId="17" borderId="29" xfId="45" applyNumberFormat="1" applyFont="1" applyFill="1" applyBorder="1" applyAlignment="1">
      <alignment horizontal="center" vertical="center" wrapText="1"/>
    </xf>
    <xf numFmtId="3" fontId="84" fillId="17" borderId="26" xfId="45" applyNumberFormat="1" applyFont="1" applyFill="1" applyBorder="1" applyAlignment="1">
      <alignment horizontal="center" vertical="center" wrapText="1"/>
    </xf>
    <xf numFmtId="3" fontId="84" fillId="17" borderId="30" xfId="45" applyNumberFormat="1" applyFont="1" applyFill="1" applyBorder="1" applyAlignment="1">
      <alignment horizontal="center" vertical="center" wrapText="1"/>
    </xf>
    <xf numFmtId="0" fontId="83" fillId="17" borderId="29" xfId="48" applyFont="1" applyFill="1" applyBorder="1" applyAlignment="1">
      <alignment horizontal="center" vertical="center"/>
    </xf>
    <xf numFmtId="0" fontId="83" fillId="17" borderId="26" xfId="48" applyFont="1" applyFill="1" applyBorder="1" applyAlignment="1">
      <alignment horizontal="center" vertical="center"/>
    </xf>
    <xf numFmtId="0" fontId="83" fillId="17" borderId="30" xfId="48" applyFont="1" applyFill="1" applyBorder="1" applyAlignment="1">
      <alignment horizontal="center" vertical="center"/>
    </xf>
    <xf numFmtId="0" fontId="83" fillId="17" borderId="29" xfId="48" applyFont="1" applyFill="1" applyBorder="1" applyAlignment="1">
      <alignment horizontal="center" vertical="center" wrapText="1"/>
    </xf>
    <xf numFmtId="0" fontId="83" fillId="17" borderId="26" xfId="48" applyFont="1" applyFill="1" applyBorder="1" applyAlignment="1">
      <alignment horizontal="center" vertical="center" wrapText="1"/>
    </xf>
    <xf numFmtId="0" fontId="83" fillId="17" borderId="30" xfId="48" applyFont="1" applyFill="1" applyBorder="1" applyAlignment="1">
      <alignment horizontal="center" vertical="center" wrapText="1"/>
    </xf>
    <xf numFmtId="0" fontId="36" fillId="6" borderId="0" xfId="17" applyFont="1" applyFill="1" applyBorder="1" applyAlignment="1">
      <alignment vertical="top" wrapText="1"/>
    </xf>
    <xf numFmtId="0" fontId="22" fillId="4" borderId="0" xfId="0" applyFont="1" applyFill="1" applyAlignment="1">
      <alignment horizontal="justify" vertical="top" wrapText="1"/>
    </xf>
    <xf numFmtId="17" fontId="12" fillId="0" borderId="0" xfId="14" quotePrefix="1" applyNumberFormat="1" applyFont="1" applyAlignment="1">
      <alignment horizontal="center" vertical="center" wrapText="1"/>
    </xf>
    <xf numFmtId="0" fontId="11" fillId="13" borderId="0" xfId="0" applyFont="1" applyFill="1" applyAlignment="1">
      <alignment horizontal="left" vertical="center" wrapText="1"/>
    </xf>
    <xf numFmtId="0" fontId="18" fillId="0" borderId="0" xfId="27" applyFont="1" applyFill="1" applyBorder="1" applyAlignment="1">
      <alignment horizontal="left" vertical="top" wrapText="1"/>
    </xf>
    <xf numFmtId="0" fontId="18" fillId="0" borderId="0" xfId="27" applyFont="1" applyFill="1" applyBorder="1" applyAlignment="1">
      <alignment horizontal="justify" wrapText="1"/>
    </xf>
    <xf numFmtId="41" fontId="24" fillId="0" borderId="0" xfId="22" applyFont="1" applyFill="1" applyBorder="1" applyAlignment="1">
      <alignment horizontal="right"/>
    </xf>
    <xf numFmtId="0" fontId="26" fillId="0" borderId="0" xfId="27" applyFont="1" applyFill="1" applyBorder="1" applyAlignment="1">
      <alignment horizontal="right"/>
    </xf>
    <xf numFmtId="0" fontId="8" fillId="0" borderId="19" xfId="19" applyFont="1" applyBorder="1" applyAlignment="1">
      <alignment horizontal="center" vertical="center"/>
    </xf>
    <xf numFmtId="0" fontId="8" fillId="0" borderId="3" xfId="19" applyFont="1" applyBorder="1" applyAlignment="1">
      <alignment horizontal="center" vertical="center"/>
    </xf>
    <xf numFmtId="0" fontId="8" fillId="0" borderId="19" xfId="19" applyFont="1" applyBorder="1" applyAlignment="1">
      <alignment horizontal="center" vertical="center" wrapText="1"/>
    </xf>
    <xf numFmtId="0" fontId="8" fillId="0" borderId="3" xfId="19" applyFont="1" applyBorder="1" applyAlignment="1">
      <alignment horizontal="center" vertical="center" wrapText="1"/>
    </xf>
    <xf numFmtId="0" fontId="24" fillId="0" borderId="0" xfId="27" applyFont="1" applyFill="1" applyBorder="1" applyAlignment="1">
      <alignment horizontal="right"/>
    </xf>
    <xf numFmtId="0" fontId="27" fillId="0" borderId="0" xfId="14" applyFont="1" applyAlignment="1">
      <alignment horizontal="left" vertical="center"/>
    </xf>
  </cellXfs>
  <cellStyles count="58">
    <cellStyle name="          _x000a__x000a_386grabber=VGA.3GR_x000a__x000a_ 2" xfId="11" xr:uid="{9F410CAA-CDCD-F040-B8EE-2E5FC668497E}"/>
    <cellStyle name="          _x000a__x000a_386grabber=VGA.3GR_x000a__x000a_ 2 2" xfId="34" xr:uid="{16F30D53-C671-704B-BF19-C148C5EE7526}"/>
    <cellStyle name="          _x000d__x000a_386grabber=VGA.3GR_x000d__x000a_" xfId="9" xr:uid="{ABE5F50E-402A-8E45-BD27-325D2A85E39B}"/>
    <cellStyle name="          _x000d__x000d_386grabber=VGA.3GR_x000d__x000d_" xfId="16" xr:uid="{A638F06E-5EDC-8843-AB66-3B45D66E3BCD}"/>
    <cellStyle name="          _x000d__x000d_386grabber=VGA.3GR_x000d__x000d_ 2 2" xfId="28" xr:uid="{BFF7CF9C-4336-574A-A34A-2F937F099FAB}"/>
    <cellStyle name="Comma 13" xfId="49" xr:uid="{8D28A18D-11F3-410C-9729-5EAF37178D98}"/>
    <cellStyle name="Comma 2" xfId="55" xr:uid="{C96D5EAB-AF3A-4AA4-AA11-4BF68FE13B41}"/>
    <cellStyle name="Comma 2 4" xfId="53" xr:uid="{A84E975F-D7B1-43CA-A84D-1B6C443BCF26}"/>
    <cellStyle name="Comma 4" xfId="46" xr:uid="{00701FCA-46CA-49DD-A5DD-E53EDD5E7325}"/>
    <cellStyle name="Comma_Worksheet in (C) 2212.1 Armado de Estados MS 31.12 2" xfId="51" xr:uid="{62729769-0467-49DB-AEAC-0BAAB607E44A}"/>
    <cellStyle name="Euro" xfId="36" xr:uid="{DFC99871-C756-5B4D-86AE-1F7904139751}"/>
    <cellStyle name="Hipervínculo" xfId="7" builtinId="8"/>
    <cellStyle name="Millares" xfId="1" builtinId="3"/>
    <cellStyle name="Millares [0]" xfId="2" builtinId="6"/>
    <cellStyle name="Millares [0] 2" xfId="22" xr:uid="{262114E0-BCE1-2846-BBD2-5EAD70C441A3}"/>
    <cellStyle name="Millares [0] 2 2" xfId="38" xr:uid="{CBF0B7A3-49E5-1C40-B588-66DF2046F1E3}"/>
    <cellStyle name="Millares [0] 2 2 3" xfId="31" xr:uid="{D3F9739F-4FEA-DD49-B7F8-DC2ABB236F36}"/>
    <cellStyle name="Millares [0] 3" xfId="42" xr:uid="{4E0DA527-A464-4FC9-89F2-38EAE2979086}"/>
    <cellStyle name="Millares [0] 8" xfId="25" xr:uid="{B77C0F4F-888A-0D4F-92A3-0491652B2337}"/>
    <cellStyle name="Millares 10 3 2" xfId="30" xr:uid="{CC81589C-A172-B84A-BCB6-12AE2CE6DE79}"/>
    <cellStyle name="Millares 100 11" xfId="44" xr:uid="{D8396431-36B2-496D-A26C-2D9398E596DB}"/>
    <cellStyle name="Millares 2" xfId="32" xr:uid="{59C63B03-76E0-2848-A428-120950666BAA}"/>
    <cellStyle name="Millares 2 5" xfId="40" xr:uid="{5C91E0D9-0DAD-AC40-98F2-D7D0972FF875}"/>
    <cellStyle name="Millares 212" xfId="6" xr:uid="{3E576930-4BAD-694A-8E11-5A00F4402F77}"/>
    <cellStyle name="Millares 3" xfId="54" xr:uid="{C0A4086D-C36D-49F4-A942-FCE54A299C75}"/>
    <cellStyle name="Millares 3 2" xfId="52" xr:uid="{C46E85B2-9E0B-42F3-A378-7F5B845A54E3}"/>
    <cellStyle name="Millares 5" xfId="21" xr:uid="{BD6045AC-15D4-454C-9447-898CA3CB391D}"/>
    <cellStyle name="Millares 6" xfId="10" xr:uid="{4871287E-F417-5D47-B5C8-654C5A5DC750}"/>
    <cellStyle name="Millares 6 9" xfId="35" xr:uid="{DD8E1419-23DE-1242-89F1-615FA2620F8C}"/>
    <cellStyle name="Normal" xfId="0" builtinId="0"/>
    <cellStyle name="Normal 10" xfId="17" xr:uid="{03E2CF2B-27D0-7D46-8EB4-84035392096B}"/>
    <cellStyle name="Normal 10 2" xfId="5" xr:uid="{D5909F18-8D22-D24B-8CE2-7A36F070DB9C}"/>
    <cellStyle name="Normal 11" xfId="39" xr:uid="{F4DB02BC-B9E2-4245-9786-1B443ECA3436}"/>
    <cellStyle name="Normal 12 2 10" xfId="43" xr:uid="{B5B22A8B-00B2-46CD-8ACB-7682E1966404}"/>
    <cellStyle name="Normal 13" xfId="15" xr:uid="{23C93A2E-82CA-E242-8E06-06CC9BD89476}"/>
    <cellStyle name="Normal 14" xfId="12" xr:uid="{9A812E0A-EFAC-734C-9DF0-1092C931B776}"/>
    <cellStyle name="Normal 15 2 2" xfId="4" xr:uid="{F2B230D0-C297-6641-BB13-A005FD40A8C2}"/>
    <cellStyle name="Normal 157" xfId="26" xr:uid="{3D808117-7412-BA49-8E44-4FF3F3682FDA}"/>
    <cellStyle name="Normal 161" xfId="8" xr:uid="{8AA42632-ACAE-614A-B598-A623B0D593C3}"/>
    <cellStyle name="Normal 2" xfId="13" xr:uid="{836ED5D6-AC14-2246-9379-569137F58120}"/>
    <cellStyle name="Normal 2 2" xfId="57" xr:uid="{E5F4F0C7-1FBA-49DC-B926-1033DB0541E8}"/>
    <cellStyle name="Normal 2 2 2 3" xfId="18" xr:uid="{D76D75F8-59C0-AC48-947F-CE244C626985}"/>
    <cellStyle name="Normal 2 3" xfId="23" xr:uid="{242D87E6-0F30-2549-A698-14ED3317A320}"/>
    <cellStyle name="Normal 2 5" xfId="27" xr:uid="{D59B7824-8004-DA4C-8824-C8F057201F0F}"/>
    <cellStyle name="Normal 2 5 5" xfId="33" xr:uid="{E02B3003-F76D-8A4D-AF3E-81E8FA5EDC1C}"/>
    <cellStyle name="Normal 3 2" xfId="24" xr:uid="{DFBF6B06-D5BB-5B4F-951E-5F5E262A6FAD}"/>
    <cellStyle name="Normal 5 2" xfId="56" xr:uid="{B0B4F028-755D-405F-A50D-AB1C6AEC8827}"/>
    <cellStyle name="Normal 9" xfId="41" xr:uid="{84FC1B9C-BBC8-46F0-AA15-F1B682886C08}"/>
    <cellStyle name="Normal_EEP FANAPEL" xfId="19" xr:uid="{3CDC2115-F902-1B4A-8448-EDAE2E7CC536}"/>
    <cellStyle name="Normal_FANAPEL INDIVIDUAL" xfId="37" xr:uid="{B03E40C1-9738-9043-B49F-2B2762CD1560}"/>
    <cellStyle name="Normal_Hoja 1 2" xfId="50" xr:uid="{D50329D9-82A7-4CCD-999A-BFF300512ABB}"/>
    <cellStyle name="Normal_informe1" xfId="14" xr:uid="{9E92D0E4-DF85-1A4F-8687-DD6F6A5E3BBF}"/>
    <cellStyle name="Normal_informe1 2 2" xfId="20" xr:uid="{32401CFF-DCD1-FA48-8074-4A46FAADB5CE}"/>
    <cellStyle name="Normal_Solución propuesta Ej.7 Flujos Efectivo" xfId="48" xr:uid="{37264916-118C-4C23-809D-A317D6182EF8}"/>
    <cellStyle name="Normal_Worksheet in (C) 2212.1 Armado de Estados MS 31.12 2" xfId="45" xr:uid="{D91689F2-CE8B-49DF-BFAE-0FD630068A26}"/>
    <cellStyle name="Normal_Worksheet in 2231 ESTADOS CONTABLES AIPSA 30.06 2" xfId="47" xr:uid="{37234BB0-2D8F-4B93-8895-577DE92F74A2}"/>
    <cellStyle name="Porcentaje" xfId="3" builtinId="5"/>
    <cellStyle name="Porcentaje 2" xfId="29" xr:uid="{0101F4DF-AC8F-864A-84F2-8842B57F754B}"/>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externalLink" Target="externalLinks/externalLink4.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47" Type="http://schemas.openxmlformats.org/officeDocument/2006/relationships/customXml" Target="../customXml/item2.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externalLink" Target="externalLinks/externalLink2.xml"/><Relationship Id="rId40" Type="http://schemas.openxmlformats.org/officeDocument/2006/relationships/externalLink" Target="externalLinks/externalLink5.xml"/><Relationship Id="rId45"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 Id="rId48" Type="http://schemas.openxmlformats.org/officeDocument/2006/relationships/customXml" Target="../customXml/item3.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externalLink" Target="externalLinks/externalLink3.xml"/><Relationship Id="rId46" Type="http://schemas.openxmlformats.org/officeDocument/2006/relationships/customXml" Target="../customXml/item1.xml"/><Relationship Id="rId20" Type="http://schemas.openxmlformats.org/officeDocument/2006/relationships/worksheet" Target="worksheets/sheet20.xml"/><Relationship Id="rId41" Type="http://schemas.openxmlformats.org/officeDocument/2006/relationships/externalLink" Target="externalLinks/externalLink6.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oneCellAnchor>
    <xdr:from>
      <xdr:col>1</xdr:col>
      <xdr:colOff>0</xdr:colOff>
      <xdr:row>1</xdr:row>
      <xdr:rowOff>0</xdr:rowOff>
    </xdr:from>
    <xdr:ext cx="868513" cy="819150"/>
    <xdr:pic>
      <xdr:nvPicPr>
        <xdr:cNvPr id="2" name="Imagen 1">
          <a:extLst>
            <a:ext uri="{FF2B5EF4-FFF2-40B4-BE49-F238E27FC236}">
              <a16:creationId xmlns:a16="http://schemas.microsoft.com/office/drawing/2014/main" id="{2F578EE6-C494-BE4E-87CA-5C7C034BC400}"/>
            </a:ext>
          </a:extLst>
        </xdr:cNvPr>
        <xdr:cNvPicPr>
          <a:picLocks noChangeAspect="1"/>
        </xdr:cNvPicPr>
      </xdr:nvPicPr>
      <xdr:blipFill rotWithShape="1">
        <a:blip xmlns:r="http://schemas.openxmlformats.org/officeDocument/2006/relationships" r:embed="rId1"/>
        <a:srcRect l="26212" t="10418" r="26126" b="9624"/>
        <a:stretch/>
      </xdr:blipFill>
      <xdr:spPr>
        <a:xfrm>
          <a:off x="342900" y="165100"/>
          <a:ext cx="868513" cy="81915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190500</xdr:colOff>
      <xdr:row>0</xdr:row>
      <xdr:rowOff>28574</xdr:rowOff>
    </xdr:from>
    <xdr:ext cx="1066800" cy="1006167"/>
    <xdr:pic>
      <xdr:nvPicPr>
        <xdr:cNvPr id="2" name="Imagen 1">
          <a:extLst>
            <a:ext uri="{FF2B5EF4-FFF2-40B4-BE49-F238E27FC236}">
              <a16:creationId xmlns:a16="http://schemas.microsoft.com/office/drawing/2014/main" id="{38C46587-436C-4C7F-8E15-764E70CA6A36}"/>
            </a:ext>
          </a:extLst>
        </xdr:cNvPr>
        <xdr:cNvPicPr>
          <a:picLocks noChangeAspect="1"/>
        </xdr:cNvPicPr>
      </xdr:nvPicPr>
      <xdr:blipFill rotWithShape="1">
        <a:blip xmlns:r="http://schemas.openxmlformats.org/officeDocument/2006/relationships" r:embed="rId1"/>
        <a:srcRect l="26212" t="10418" r="26126" b="9624"/>
        <a:stretch/>
      </xdr:blipFill>
      <xdr:spPr>
        <a:xfrm>
          <a:off x="1495425" y="28574"/>
          <a:ext cx="1066800" cy="1006167"/>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Archivo\Archivos\CNV\2023\3%20er%20trimestre\Balance_09_2023.xlsx" TargetMode="External"/><Relationship Id="rId1" Type="http://schemas.openxmlformats.org/officeDocument/2006/relationships/externalLinkPath" Target="/Archivo/Archivos/CNV/2023/3%20er%20trimestre/Balance_09_2023.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C:\Users\rosaf\Desktop\Archivos\Informes\12%20diciembre\Armado%20EEFF\Vilux%20-%20Armado%20EEFF%202022.xlsx" TargetMode="External"/><Relationship Id="rId1" Type="http://schemas.openxmlformats.org/officeDocument/2006/relationships/externalLinkPath" Target="/Users/rosaf/Desktop/Archivos/Informes/12%20diciembre/Armado%20EEFF/Vilux%20-%20Armado%20EEFF%202022.xlsx"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C:\Users\rosaf\Desktop\Archivos\CNV\VILUX_22_12_31.xlsx" TargetMode="External"/><Relationship Id="rId1" Type="http://schemas.openxmlformats.org/officeDocument/2006/relationships/externalLinkPath" Target="/Users/rosaf/Desktop/Archivos/CNV/VILUX_22_12_31.xlsx"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file:///C:\Archivo\Archivos\CNV\2023\3%20er%20trimestre\Cuenta%20de%20p&#233;rdidas%20y%20ganancias_09.xlsx" TargetMode="External"/><Relationship Id="rId1" Type="http://schemas.openxmlformats.org/officeDocument/2006/relationships/externalLinkPath" Target="/Archivo/Archivos/CNV/2023/3%20er%20trimestre/Cuenta%20de%20p&#233;rdidas%20y%20ganancias_09.xlsx" TargetMode="External"/></Relationships>
</file>

<file path=xl/externalLinks/_rels/externalLink5.xml.rels><?xml version="1.0" encoding="UTF-8" standalone="yes"?>
<Relationships xmlns="http://schemas.openxmlformats.org/package/2006/relationships"><Relationship Id="rId2" Type="http://schemas.openxmlformats.org/officeDocument/2006/relationships/externalLinkPath" Target="file:///C:\Users\rosaf\Desktop\Archivos\CNV\Detalle%20gastos%20CNV.xlsx" TargetMode="External"/><Relationship Id="rId1" Type="http://schemas.openxmlformats.org/officeDocument/2006/relationships/externalLinkPath" Target="/Users/rosaf/Desktop/Archivos/CNV/Detalle%20gastos%20CNV.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rosaf/AppData/Local/Microsoft/Windows/INetCache/Content.Outlook/LVV44OLH/Comparativos%20MV.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heet1"/>
    </sheetNames>
    <sheetDataSet>
      <sheetData sheetId="0">
        <row r="1">
          <cell r="A1" t="str">
            <v>Cuenta de mayor</v>
          </cell>
          <cell r="B1" t="str">
            <v>Nombre</v>
          </cell>
          <cell r="C1" t="str">
            <v>Saldo</v>
          </cell>
        </row>
        <row r="2">
          <cell r="A2" t="str">
            <v>1.01.01.01.001</v>
          </cell>
          <cell r="B2" t="str">
            <v>Caja Central Guaranies</v>
          </cell>
          <cell r="C2">
            <v>882623</v>
          </cell>
        </row>
        <row r="3">
          <cell r="A3" t="str">
            <v>1.01.01.01.002</v>
          </cell>
          <cell r="B3" t="str">
            <v>Caja Central Dólares Fdo</v>
          </cell>
          <cell r="C3">
            <v>154389233</v>
          </cell>
        </row>
        <row r="4">
          <cell r="A4" t="str">
            <v>1.01.01.01.011</v>
          </cell>
          <cell r="B4" t="str">
            <v>Caja Central Dólares ENC</v>
          </cell>
          <cell r="C4">
            <v>728521</v>
          </cell>
        </row>
        <row r="5">
          <cell r="A5" t="str">
            <v>1.01.01.01.007</v>
          </cell>
          <cell r="B5" t="str">
            <v>Caja Central Dólares Pjc</v>
          </cell>
          <cell r="C5">
            <v>15839855</v>
          </cell>
        </row>
        <row r="6">
          <cell r="A6" t="str">
            <v>1.01.01.01.004</v>
          </cell>
          <cell r="B6" t="str">
            <v>Caja Central Reales Fdo</v>
          </cell>
          <cell r="C6">
            <v>4024376</v>
          </cell>
        </row>
        <row r="7">
          <cell r="A7" t="str">
            <v>1.01.01.01.006</v>
          </cell>
          <cell r="B7" t="str">
            <v>Caja Central Reales Pjc</v>
          </cell>
          <cell r="C7">
            <v>16044833</v>
          </cell>
        </row>
        <row r="8">
          <cell r="A8" t="str">
            <v>1.01.01.01.005</v>
          </cell>
          <cell r="B8" t="str">
            <v>Caja Central Euros</v>
          </cell>
          <cell r="C8">
            <v>13137502</v>
          </cell>
        </row>
        <row r="9">
          <cell r="A9" t="str">
            <v>1.01.01.02.001</v>
          </cell>
          <cell r="B9" t="str">
            <v>Recaudaciones a depositar Gs</v>
          </cell>
          <cell r="C9">
            <v>811498679</v>
          </cell>
        </row>
        <row r="10">
          <cell r="A10" t="str">
            <v>1.01.01.02.002</v>
          </cell>
          <cell r="B10" t="str">
            <v>Recaudaciones a depositar Usd.</v>
          </cell>
          <cell r="C10">
            <v>164117522</v>
          </cell>
        </row>
        <row r="11">
          <cell r="A11" t="str">
            <v>1.01.01.02.003</v>
          </cell>
          <cell r="B11" t="str">
            <v>Recaudaciones a depositar Reales</v>
          </cell>
          <cell r="C11">
            <v>-17095695</v>
          </cell>
        </row>
        <row r="12">
          <cell r="A12" t="str">
            <v>1.01.01.03.001</v>
          </cell>
          <cell r="B12" t="str">
            <v>Fondo Fijo Insumos FDO</v>
          </cell>
          <cell r="C12">
            <v>8000003</v>
          </cell>
        </row>
        <row r="13">
          <cell r="A13" t="str">
            <v>1.01.01.03.002</v>
          </cell>
          <cell r="B13" t="str">
            <v>Fondo Fijo Logistica FDO</v>
          </cell>
          <cell r="C13">
            <v>10000000</v>
          </cell>
        </row>
        <row r="14">
          <cell r="A14" t="str">
            <v>1.01.01.03.003</v>
          </cell>
          <cell r="B14" t="str">
            <v>Fondo Fijo Finanzas ENC</v>
          </cell>
          <cell r="C14">
            <v>5000000</v>
          </cell>
        </row>
        <row r="15">
          <cell r="A15" t="str">
            <v>1.01.01.03.004</v>
          </cell>
          <cell r="B15" t="str">
            <v>Fondo Fijo Finanzas FDO</v>
          </cell>
          <cell r="C15">
            <v>5000000</v>
          </cell>
        </row>
        <row r="16">
          <cell r="A16" t="str">
            <v>1.01.01.03.005</v>
          </cell>
          <cell r="B16" t="str">
            <v>Fondo Fijo Logistica MG</v>
          </cell>
          <cell r="C16">
            <v>6000000</v>
          </cell>
        </row>
        <row r="17">
          <cell r="A17" t="str">
            <v>1.01.01.03.007</v>
          </cell>
          <cell r="B17" t="str">
            <v>Fondo Fijo Logistica ENC</v>
          </cell>
          <cell r="C17">
            <v>5000000</v>
          </cell>
        </row>
        <row r="18">
          <cell r="A18" t="str">
            <v>1.01.01.03.008</v>
          </cell>
          <cell r="B18" t="str">
            <v>Fondo Fijo Planta Central y Villeta FDO</v>
          </cell>
          <cell r="C18">
            <v>0</v>
          </cell>
        </row>
        <row r="19">
          <cell r="A19" t="str">
            <v>1.01.01.03.009</v>
          </cell>
          <cell r="B19" t="str">
            <v>Fondo Fijo Logistica PJC</v>
          </cell>
          <cell r="C19">
            <v>5000000</v>
          </cell>
        </row>
        <row r="20">
          <cell r="A20" t="str">
            <v>1.01.01.03.010</v>
          </cell>
          <cell r="B20" t="str">
            <v>Fondo Fijo Admin PJC</v>
          </cell>
          <cell r="C20">
            <v>5000000</v>
          </cell>
        </row>
        <row r="21">
          <cell r="A21" t="str">
            <v>1.01.01.03.012</v>
          </cell>
          <cell r="B21" t="str">
            <v>Fondo Fijo Admin MG</v>
          </cell>
          <cell r="C21">
            <v>7000000</v>
          </cell>
        </row>
        <row r="22">
          <cell r="A22" t="str">
            <v>1.01.01.03.013</v>
          </cell>
          <cell r="B22" t="str">
            <v>Fondo Fijo Taller y Obras FDO</v>
          </cell>
          <cell r="C22">
            <v>2000000</v>
          </cell>
        </row>
        <row r="23">
          <cell r="A23" t="str">
            <v>1.01.01.05.001</v>
          </cell>
          <cell r="B23" t="str">
            <v>Banco Itau Cta.Cte. 300033791 GS</v>
          </cell>
          <cell r="C23">
            <v>2821726709</v>
          </cell>
        </row>
        <row r="24">
          <cell r="A24" t="str">
            <v>1.01.01.05.004</v>
          </cell>
          <cell r="B24" t="str">
            <v>Banco Itau Cta. Cte. 2426/5 Guaranies</v>
          </cell>
          <cell r="C24">
            <v>424577972</v>
          </cell>
        </row>
        <row r="25">
          <cell r="A25" t="str">
            <v>1.01.01.05.002</v>
          </cell>
          <cell r="B25" t="str">
            <v>Banco Continental Cta.Cte. 836100 Guaranies</v>
          </cell>
          <cell r="C25">
            <v>965446124</v>
          </cell>
        </row>
        <row r="26">
          <cell r="A26" t="str">
            <v>1.01.01.05.003</v>
          </cell>
          <cell r="B26" t="str">
            <v>Banco Itau Cta.Cte. 600001139 GS</v>
          </cell>
          <cell r="C26">
            <v>143476410</v>
          </cell>
        </row>
        <row r="27">
          <cell r="A27" t="str">
            <v>1.01.01.05.006</v>
          </cell>
          <cell r="B27" t="str">
            <v>Banco Citibank Cta.Cte. 0197682019 Guaranies</v>
          </cell>
          <cell r="C27">
            <v>0</v>
          </cell>
        </row>
        <row r="28">
          <cell r="A28" t="str">
            <v>1.01.01.05.007</v>
          </cell>
          <cell r="B28" t="str">
            <v>Banco Do Brasil Cta.Cte. 327948 Guaranies</v>
          </cell>
          <cell r="C28">
            <v>25777363</v>
          </cell>
        </row>
        <row r="29">
          <cell r="A29" t="str">
            <v>1.01.01.05.009</v>
          </cell>
          <cell r="B29" t="str">
            <v>Banco Basa GS-Capital Fondos Mutuos</v>
          </cell>
          <cell r="C29">
            <v>306718</v>
          </cell>
        </row>
        <row r="30">
          <cell r="A30" t="str">
            <v>1.01.01.05.011</v>
          </cell>
          <cell r="B30" t="str">
            <v>Banco GNB Cta.13215536-001 Guaranies</v>
          </cell>
          <cell r="C30">
            <v>35848505</v>
          </cell>
        </row>
        <row r="31">
          <cell r="A31" t="str">
            <v>1.01.01.06.001</v>
          </cell>
          <cell r="B31" t="str">
            <v>Banco Citibank NY Cta.Cte. 36281553 Usd.</v>
          </cell>
          <cell r="C31">
            <v>0</v>
          </cell>
        </row>
        <row r="32">
          <cell r="A32" t="str">
            <v>1.01.01.06.002</v>
          </cell>
          <cell r="B32" t="str">
            <v>Banco Itau Cta.Cte 350100717 Usd.</v>
          </cell>
          <cell r="C32">
            <v>3236405611</v>
          </cell>
        </row>
        <row r="33">
          <cell r="A33" t="str">
            <v>1.01.01.06.004</v>
          </cell>
          <cell r="B33" t="str">
            <v>Banco Basa USD-Capital Fondos Mutuos</v>
          </cell>
          <cell r="C33">
            <v>752308779</v>
          </cell>
        </row>
        <row r="34">
          <cell r="A34" t="str">
            <v>1.01.01.06.005</v>
          </cell>
          <cell r="B34" t="str">
            <v>Banco Regional Casa de Bolsa S.A. Usd</v>
          </cell>
          <cell r="C34">
            <v>379071</v>
          </cell>
        </row>
        <row r="35">
          <cell r="A35" t="str">
            <v>1.01.01.06.006</v>
          </cell>
          <cell r="B35" t="str">
            <v>Banco GNB Cta.13215536-002 Usd</v>
          </cell>
          <cell r="C35">
            <v>43710000</v>
          </cell>
        </row>
        <row r="36">
          <cell r="A36" t="str">
            <v>1.01.01.07.001</v>
          </cell>
          <cell r="B36" t="str">
            <v>Banco Continental Caja de Ahorro 34-30-003300-05 Reales</v>
          </cell>
          <cell r="C36">
            <v>305813898</v>
          </cell>
        </row>
        <row r="37">
          <cell r="A37" t="str">
            <v>1.01.01.08.001</v>
          </cell>
          <cell r="B37" t="str">
            <v>Banco Citibank Caja de Ahorro 5197682029 Usd.</v>
          </cell>
          <cell r="C37">
            <v>120282</v>
          </cell>
        </row>
        <row r="38">
          <cell r="A38" t="str">
            <v>1.01.01.08.002</v>
          </cell>
          <cell r="B38" t="str">
            <v>Banco Continental Caja de Ahorro 34 -27-240683-05 Usd.</v>
          </cell>
          <cell r="C38">
            <v>601773571</v>
          </cell>
        </row>
        <row r="39">
          <cell r="A39" t="str">
            <v>1.01.01.08.005</v>
          </cell>
          <cell r="B39" t="str">
            <v>Banco Atlas Cta Ahorro 1420538 USD</v>
          </cell>
          <cell r="C39">
            <v>124257704</v>
          </cell>
        </row>
        <row r="40">
          <cell r="A40" t="str">
            <v>1.01.01.08.003</v>
          </cell>
          <cell r="B40" t="str">
            <v>Banco Visión Caja de Ahorro 18325910 Guaraníes</v>
          </cell>
          <cell r="C40">
            <v>45738770</v>
          </cell>
        </row>
        <row r="41">
          <cell r="A41" t="str">
            <v>1.01.01.09.001</v>
          </cell>
          <cell r="B41" t="str">
            <v>Cuenta control caja y bancos</v>
          </cell>
          <cell r="C41">
            <v>30000000</v>
          </cell>
        </row>
        <row r="42">
          <cell r="A42" t="str">
            <v>1.01.01.09.002</v>
          </cell>
          <cell r="B42" t="str">
            <v>Cuenta control compra de divisas</v>
          </cell>
          <cell r="C42">
            <v>-1237950</v>
          </cell>
        </row>
        <row r="43">
          <cell r="A43" t="str">
            <v>1.01.01.09.003</v>
          </cell>
          <cell r="B43" t="str">
            <v>Canje cliente- proveedores</v>
          </cell>
          <cell r="C43">
            <v>4223873</v>
          </cell>
        </row>
        <row r="44">
          <cell r="A44" t="str">
            <v>1.01.01.09.006</v>
          </cell>
          <cell r="B44" t="str">
            <v>Cuenta control venta de divisas</v>
          </cell>
          <cell r="C44">
            <v>-1016250</v>
          </cell>
        </row>
        <row r="45">
          <cell r="A45" t="str">
            <v>1.01.02.01.001</v>
          </cell>
          <cell r="B45" t="str">
            <v>Creditos clientes</v>
          </cell>
          <cell r="C45">
            <v>20201794300</v>
          </cell>
        </row>
        <row r="46">
          <cell r="A46" t="str">
            <v>1.01.02.01.003</v>
          </cell>
          <cell r="B46" t="str">
            <v>Creditos en gestion de cobro</v>
          </cell>
          <cell r="C46">
            <v>416527296</v>
          </cell>
        </row>
        <row r="47">
          <cell r="A47" t="str">
            <v>1.01.02.02.001</v>
          </cell>
          <cell r="B47" t="str">
            <v>Cheques diferidos Guaranies</v>
          </cell>
          <cell r="C47">
            <v>1915408921</v>
          </cell>
        </row>
        <row r="48">
          <cell r="A48" t="str">
            <v>1.01.02.02.002</v>
          </cell>
          <cell r="B48" t="str">
            <v>Cheques diferidos Usd.</v>
          </cell>
          <cell r="C48">
            <v>1237336433</v>
          </cell>
        </row>
        <row r="49">
          <cell r="A49" t="str">
            <v>1.01.02.02.003</v>
          </cell>
          <cell r="B49" t="str">
            <v>Cheques diferidos en custodia Guaranies</v>
          </cell>
          <cell r="C49">
            <v>7567855771</v>
          </cell>
        </row>
        <row r="50">
          <cell r="A50" t="str">
            <v>1.01.02.03.001</v>
          </cell>
          <cell r="B50" t="str">
            <v>Cheques rechazados Guaranies</v>
          </cell>
          <cell r="C50">
            <v>1271950204</v>
          </cell>
        </row>
        <row r="51">
          <cell r="A51" t="str">
            <v>1.01.02.03.002</v>
          </cell>
          <cell r="B51" t="str">
            <v>Cheques rechazados Usd.</v>
          </cell>
          <cell r="C51">
            <v>8999668</v>
          </cell>
        </row>
        <row r="52">
          <cell r="A52" t="str">
            <v>1.01.02.03.003</v>
          </cell>
          <cell r="B52" t="str">
            <v>Cheques en gestion judicial Guaranies</v>
          </cell>
          <cell r="C52">
            <v>5846254433</v>
          </cell>
        </row>
        <row r="53">
          <cell r="A53" t="str">
            <v>1.01.02.04.003</v>
          </cell>
          <cell r="B53" t="str">
            <v>Cheques canjeado Guaranies</v>
          </cell>
          <cell r="C53">
            <v>46668771</v>
          </cell>
        </row>
        <row r="54">
          <cell r="A54" t="str">
            <v>1.01.02.05.001</v>
          </cell>
          <cell r="B54" t="str">
            <v>Tarjetas al Cobro</v>
          </cell>
          <cell r="C54">
            <v>25301740</v>
          </cell>
        </row>
        <row r="55">
          <cell r="A55" t="str">
            <v>1.01.02.06.001</v>
          </cell>
          <cell r="B55" t="str">
            <v>Previsiones para cuentas incobrables</v>
          </cell>
          <cell r="C55">
            <v>-8211010350</v>
          </cell>
        </row>
        <row r="56">
          <cell r="A56" t="str">
            <v>1.01.03.01.001</v>
          </cell>
          <cell r="B56" t="str">
            <v>IVA credito fiscal 10%</v>
          </cell>
          <cell r="C56">
            <v>-209122796</v>
          </cell>
        </row>
        <row r="57">
          <cell r="A57" t="str">
            <v>1.01.03.01.002</v>
          </cell>
          <cell r="B57" t="str">
            <v>IVA credito fiscal 5%</v>
          </cell>
          <cell r="C57">
            <v>0</v>
          </cell>
        </row>
        <row r="58">
          <cell r="A58" t="str">
            <v>1.01.03.01.003</v>
          </cell>
          <cell r="B58" t="str">
            <v>Retenciones IVA recibidas</v>
          </cell>
          <cell r="C58">
            <v>332716183</v>
          </cell>
        </row>
        <row r="59">
          <cell r="A59" t="str">
            <v>1.01.03.01.004</v>
          </cell>
          <cell r="B59" t="str">
            <v>IVA credito fiscal</v>
          </cell>
          <cell r="C59">
            <v>363414864</v>
          </cell>
        </row>
        <row r="60">
          <cell r="A60" t="str">
            <v>1.01.03.02.001</v>
          </cell>
          <cell r="B60" t="str">
            <v>Retenciones y percepciones computables renta</v>
          </cell>
          <cell r="C60">
            <v>942533</v>
          </cell>
        </row>
        <row r="61">
          <cell r="A61" t="str">
            <v>1.01.03.02.002</v>
          </cell>
          <cell r="B61" t="str">
            <v>Anticipos impuesto a la renta</v>
          </cell>
          <cell r="C61">
            <v>1328922584</v>
          </cell>
        </row>
        <row r="62">
          <cell r="A62" t="str">
            <v>1.01.03.02.003</v>
          </cell>
          <cell r="B62" t="str">
            <v>Retencion IRE aduana</v>
          </cell>
          <cell r="C62">
            <v>243468417</v>
          </cell>
        </row>
        <row r="63">
          <cell r="A63" t="str">
            <v>1.01.04.01.001</v>
          </cell>
          <cell r="B63" t="str">
            <v>Anticipo viaticos a rendir</v>
          </cell>
          <cell r="C63">
            <v>570000</v>
          </cell>
        </row>
        <row r="64">
          <cell r="A64" t="str">
            <v>1.01.04.01.002</v>
          </cell>
          <cell r="B64" t="str">
            <v>Otros anticipos</v>
          </cell>
          <cell r="C64">
            <v>542660761</v>
          </cell>
        </row>
        <row r="65">
          <cell r="A65" t="str">
            <v>1.01.04.02.003</v>
          </cell>
          <cell r="B65" t="str">
            <v>Anticipos a proveedores exterior</v>
          </cell>
          <cell r="C65">
            <v>1518612860</v>
          </cell>
        </row>
        <row r="66">
          <cell r="A66" t="str">
            <v>1.01.04.02.004</v>
          </cell>
          <cell r="B66" t="str">
            <v>Anticipos a proveedores locales</v>
          </cell>
          <cell r="C66">
            <v>2406389750</v>
          </cell>
        </row>
        <row r="67">
          <cell r="A67" t="str">
            <v>1.01.04.03.007</v>
          </cell>
          <cell r="B67" t="str">
            <v>Anticipos Transportadora Carlos Costa S.A.</v>
          </cell>
          <cell r="C67">
            <v>1908384731</v>
          </cell>
        </row>
        <row r="68">
          <cell r="A68" t="str">
            <v>1.01.04.03.005</v>
          </cell>
          <cell r="B68" t="str">
            <v>Anticipos Glassber S.A. - Migracion</v>
          </cell>
          <cell r="C68">
            <v>34665734629</v>
          </cell>
        </row>
        <row r="69">
          <cell r="A69" t="str">
            <v>1.01.04.04.001</v>
          </cell>
          <cell r="B69" t="str">
            <v>Anticipos para despachos de importacion</v>
          </cell>
          <cell r="C69">
            <v>511443915</v>
          </cell>
        </row>
        <row r="70">
          <cell r="A70" t="str">
            <v>1.01.04.05.001</v>
          </cell>
          <cell r="B70" t="str">
            <v>Anticipos de sueldos</v>
          </cell>
          <cell r="C70">
            <v>244971007</v>
          </cell>
        </row>
        <row r="71">
          <cell r="A71" t="str">
            <v>1.01.04.05.002</v>
          </cell>
          <cell r="B71" t="str">
            <v>Cuentas por cobrar personal comedor</v>
          </cell>
          <cell r="C71">
            <v>2859821</v>
          </cell>
        </row>
        <row r="72">
          <cell r="A72" t="str">
            <v>1.01.04.05.003</v>
          </cell>
          <cell r="B72" t="str">
            <v>Cuentas por cobrar personal uniformes</v>
          </cell>
          <cell r="C72">
            <v>-22449647</v>
          </cell>
        </row>
        <row r="73">
          <cell r="A73" t="str">
            <v>1.01.04.05.004</v>
          </cell>
          <cell r="B73" t="str">
            <v>Cuentas por cobrar seguro medico</v>
          </cell>
          <cell r="C73">
            <v>6319996</v>
          </cell>
        </row>
        <row r="74">
          <cell r="A74" t="str">
            <v>1.01.04.05.005</v>
          </cell>
          <cell r="B74" t="str">
            <v>Cuentas por cobrar reparacion celulares</v>
          </cell>
          <cell r="C74">
            <v>0</v>
          </cell>
        </row>
        <row r="75">
          <cell r="A75" t="str">
            <v>1.01.04.05.007</v>
          </cell>
          <cell r="B75" t="str">
            <v>Cuentas por cobrar personal cooperativa</v>
          </cell>
          <cell r="C75">
            <v>125000</v>
          </cell>
        </row>
        <row r="76">
          <cell r="A76" t="str">
            <v>1.01.04.05.008</v>
          </cell>
          <cell r="B76" t="str">
            <v>Cuentas por cobrar personal farmacia</v>
          </cell>
          <cell r="C76">
            <v>573534</v>
          </cell>
        </row>
        <row r="77">
          <cell r="A77" t="str">
            <v>1.01.04.05.009</v>
          </cell>
          <cell r="B77" t="str">
            <v>Deposito judicial RRHH</v>
          </cell>
          <cell r="C77">
            <v>54787055</v>
          </cell>
        </row>
        <row r="78">
          <cell r="A78" t="str">
            <v>1.01.04.05.011</v>
          </cell>
          <cell r="B78" t="str">
            <v>Otros descuentos</v>
          </cell>
          <cell r="C78">
            <v>5657146</v>
          </cell>
        </row>
        <row r="79">
          <cell r="A79" t="str">
            <v>1.01.04.07.001</v>
          </cell>
          <cell r="B79" t="str">
            <v>Siniestros a cobrar mercaderias</v>
          </cell>
          <cell r="C79">
            <v>72502250</v>
          </cell>
        </row>
        <row r="80">
          <cell r="A80" t="str">
            <v>1.01.04.07.004</v>
          </cell>
          <cell r="B80" t="str">
            <v>Debitos por embargo judicial a recuperar</v>
          </cell>
          <cell r="C80">
            <v>-43595794</v>
          </cell>
        </row>
        <row r="81">
          <cell r="A81" t="str">
            <v>1.01.04.07.005</v>
          </cell>
          <cell r="B81" t="str">
            <v>Descuentos por compras VASA</v>
          </cell>
          <cell r="C81">
            <v>-3636035789</v>
          </cell>
        </row>
        <row r="82">
          <cell r="A82" t="str">
            <v>1.01.04.07.006</v>
          </cell>
          <cell r="B82" t="str">
            <v>Siniestros a recuperar</v>
          </cell>
          <cell r="C82">
            <v>410381827</v>
          </cell>
        </row>
        <row r="83">
          <cell r="A83" t="str">
            <v>1.01.04.08.001</v>
          </cell>
          <cell r="B83" t="str">
            <v>Otras cuentas por cobrar</v>
          </cell>
          <cell r="C83">
            <v>23252287</v>
          </cell>
        </row>
        <row r="84">
          <cell r="A84" t="str">
            <v>1.01.04.08.002</v>
          </cell>
          <cell r="B84" t="str">
            <v>Cuentas a facturar</v>
          </cell>
          <cell r="C84">
            <v>2631161500</v>
          </cell>
        </row>
        <row r="85">
          <cell r="A85" t="str">
            <v>1.01.04.09.001</v>
          </cell>
          <cell r="B85" t="str">
            <v>Garantias de alquiler</v>
          </cell>
          <cell r="C85">
            <v>18559535</v>
          </cell>
        </row>
        <row r="86">
          <cell r="A86" t="str">
            <v>1.01.04.09.002</v>
          </cell>
          <cell r="B86" t="str">
            <v>Otras garantias</v>
          </cell>
          <cell r="C86">
            <v>259241025</v>
          </cell>
        </row>
        <row r="87">
          <cell r="A87" t="str">
            <v>1.01.04.09.003</v>
          </cell>
          <cell r="B87" t="str">
            <v>Alquileres pagados por adelantado</v>
          </cell>
          <cell r="C87">
            <v>4285714</v>
          </cell>
        </row>
        <row r="88">
          <cell r="A88" t="str">
            <v>1.01.04.10.002</v>
          </cell>
          <cell r="B88" t="str">
            <v>Deudores varios</v>
          </cell>
          <cell r="C88">
            <v>0</v>
          </cell>
        </row>
        <row r="89">
          <cell r="A89" t="str">
            <v>1.01.05.01.001</v>
          </cell>
          <cell r="B89" t="str">
            <v>Gastos a devengar</v>
          </cell>
          <cell r="C89">
            <v>42047586</v>
          </cell>
        </row>
        <row r="90">
          <cell r="A90" t="str">
            <v>1.01.05.01.003</v>
          </cell>
          <cell r="B90" t="str">
            <v>Otras cuentas a Devengar</v>
          </cell>
          <cell r="C90">
            <v>1525717354</v>
          </cell>
        </row>
        <row r="91">
          <cell r="A91" t="str">
            <v>1.01.05.01.002</v>
          </cell>
          <cell r="B91" t="str">
            <v>Seguros a devengar</v>
          </cell>
          <cell r="C91">
            <v>189758475</v>
          </cell>
        </row>
        <row r="92">
          <cell r="A92" t="str">
            <v>1.01.05.01.004</v>
          </cell>
          <cell r="B92" t="str">
            <v>Intereses a devengar CP</v>
          </cell>
          <cell r="C92">
            <v>5264556528</v>
          </cell>
        </row>
        <row r="93">
          <cell r="A93" t="str">
            <v>1.01.06.01.001</v>
          </cell>
          <cell r="B93" t="str">
            <v>Mercaderias vidrios crudos</v>
          </cell>
          <cell r="C93">
            <v>36210068148</v>
          </cell>
        </row>
        <row r="94">
          <cell r="A94" t="str">
            <v>1.01.06.01.002</v>
          </cell>
          <cell r="B94" t="str">
            <v>Mercaderias perfiles</v>
          </cell>
          <cell r="C94">
            <v>12055460001</v>
          </cell>
        </row>
        <row r="95">
          <cell r="A95" t="str">
            <v>1.01.06.01.003</v>
          </cell>
          <cell r="B95" t="str">
            <v>Mercaderias herrajes</v>
          </cell>
          <cell r="C95">
            <v>10226689242</v>
          </cell>
        </row>
        <row r="96">
          <cell r="A96" t="str">
            <v>1.01.06.01.004</v>
          </cell>
          <cell r="B96" t="str">
            <v>Mercaderias construccion en seco</v>
          </cell>
          <cell r="C96">
            <v>5484105773</v>
          </cell>
        </row>
        <row r="97">
          <cell r="A97" t="str">
            <v>1.01.06.01.005</v>
          </cell>
          <cell r="B97" t="str">
            <v>Mercaderias carpinteria de aluminio</v>
          </cell>
          <cell r="C97">
            <v>37443758478</v>
          </cell>
        </row>
        <row r="98">
          <cell r="A98" t="str">
            <v>1.01.06.01.006</v>
          </cell>
          <cell r="B98" t="str">
            <v>Mercaderias siliconas</v>
          </cell>
          <cell r="C98">
            <v>3503462</v>
          </cell>
        </row>
        <row r="99">
          <cell r="A99" t="str">
            <v>1.01.06.01.007</v>
          </cell>
          <cell r="B99" t="str">
            <v>Mercaderias divisorias</v>
          </cell>
          <cell r="C99">
            <v>0</v>
          </cell>
        </row>
        <row r="100">
          <cell r="A100" t="str">
            <v>1.01.06.01.008</v>
          </cell>
          <cell r="B100" t="str">
            <v>Mercaderias insumos para la venta</v>
          </cell>
          <cell r="C100">
            <v>0</v>
          </cell>
        </row>
        <row r="101">
          <cell r="A101" t="str">
            <v>1.01.06.01.010</v>
          </cell>
          <cell r="B101" t="str">
            <v>Mercaderias productos estandar</v>
          </cell>
          <cell r="C101">
            <v>463572531</v>
          </cell>
        </row>
        <row r="102">
          <cell r="A102" t="str">
            <v>1.01.06.01.011</v>
          </cell>
          <cell r="B102" t="str">
            <v>Mercaderias locales</v>
          </cell>
          <cell r="C102">
            <v>218534930</v>
          </cell>
        </row>
        <row r="103">
          <cell r="A103" t="str">
            <v>1.01.06.01.012</v>
          </cell>
          <cell r="B103" t="str">
            <v>Mercaderias importadas</v>
          </cell>
          <cell r="C103">
            <v>6165622071</v>
          </cell>
        </row>
        <row r="104">
          <cell r="A104" t="str">
            <v>1.01.06.01.014</v>
          </cell>
          <cell r="B104" t="str">
            <v>Mercaderias obras</v>
          </cell>
          <cell r="C104">
            <v>-3956096749</v>
          </cell>
        </row>
        <row r="105">
          <cell r="A105" t="str">
            <v>1.01.06.01.015</v>
          </cell>
          <cell r="B105" t="str">
            <v>Insumos MKT</v>
          </cell>
          <cell r="C105">
            <v>103665517</v>
          </cell>
        </row>
        <row r="106">
          <cell r="A106" t="str">
            <v>1.01.06.01.016</v>
          </cell>
          <cell r="B106" t="str">
            <v>Insumos en deposito</v>
          </cell>
          <cell r="C106">
            <v>11497746731</v>
          </cell>
        </row>
        <row r="107">
          <cell r="A107" t="str">
            <v>1.01.06.01.018</v>
          </cell>
          <cell r="B107" t="str">
            <v>TCA Movimientos Stock</v>
          </cell>
          <cell r="C107">
            <v>-48936196</v>
          </cell>
        </row>
        <row r="108">
          <cell r="A108" t="str">
            <v>1.01.06.01.019</v>
          </cell>
          <cell r="B108" t="str">
            <v>Movimientos Stock Laminados</v>
          </cell>
          <cell r="C108">
            <v>-98562311</v>
          </cell>
        </row>
        <row r="109">
          <cell r="A109" t="str">
            <v>1.01.06.01.020</v>
          </cell>
          <cell r="B109" t="str">
            <v>Transferencia entre codigos</v>
          </cell>
          <cell r="C109">
            <v>7441</v>
          </cell>
        </row>
        <row r="110">
          <cell r="A110" t="str">
            <v>1.01.06.01.021</v>
          </cell>
          <cell r="B110" t="str">
            <v>Movimiento Scrap Perfiles</v>
          </cell>
          <cell r="C110">
            <v>-1</v>
          </cell>
        </row>
        <row r="111">
          <cell r="A111" t="str">
            <v>1.01.06.01.022</v>
          </cell>
          <cell r="B111" t="str">
            <v>Mercaderias Recuperadas</v>
          </cell>
          <cell r="C111">
            <v>-121</v>
          </cell>
        </row>
        <row r="112">
          <cell r="A112" t="str">
            <v>1.01.06.01.023</v>
          </cell>
          <cell r="B112" t="str">
            <v>Movimiento Stock vidrios</v>
          </cell>
          <cell r="C112">
            <v>-409888</v>
          </cell>
        </row>
        <row r="113">
          <cell r="A113" t="str">
            <v>1.01.06.02.001</v>
          </cell>
          <cell r="B113" t="str">
            <v>Servicios de anodizado</v>
          </cell>
          <cell r="C113">
            <v>8854749</v>
          </cell>
        </row>
        <row r="114">
          <cell r="A114" t="str">
            <v>1.01.06.02.002</v>
          </cell>
          <cell r="B114" t="str">
            <v>Servicios de decapado</v>
          </cell>
          <cell r="C114">
            <v>83940131</v>
          </cell>
        </row>
        <row r="115">
          <cell r="A115" t="str">
            <v>1.01.06.02.003</v>
          </cell>
          <cell r="B115" t="str">
            <v>Servicios de pintura</v>
          </cell>
          <cell r="C115">
            <v>79325177</v>
          </cell>
        </row>
        <row r="116">
          <cell r="A116" t="str">
            <v>1.01.06.02.005</v>
          </cell>
          <cell r="B116" t="str">
            <v>Servicios de pulido</v>
          </cell>
          <cell r="C116">
            <v>579</v>
          </cell>
        </row>
        <row r="117">
          <cell r="A117" t="str">
            <v>1.01.06.02.006</v>
          </cell>
          <cell r="B117" t="str">
            <v>Servicios procesados</v>
          </cell>
          <cell r="C117">
            <v>149</v>
          </cell>
        </row>
        <row r="118">
          <cell r="A118" t="str">
            <v>1.01.06.02.007</v>
          </cell>
          <cell r="B118" t="str">
            <v>Servicios tercerizados - Grandes Obras</v>
          </cell>
          <cell r="C118">
            <v>2097164190</v>
          </cell>
        </row>
        <row r="119">
          <cell r="A119" t="str">
            <v>1.01.06.03.001</v>
          </cell>
          <cell r="B119" t="str">
            <v>Sobrantes de mercaderias</v>
          </cell>
          <cell r="C119">
            <v>0</v>
          </cell>
        </row>
        <row r="120">
          <cell r="A120" t="str">
            <v>1.01.06.03.003</v>
          </cell>
          <cell r="B120" t="str">
            <v>Saldos VILUX</v>
          </cell>
          <cell r="C120">
            <v>-23</v>
          </cell>
        </row>
        <row r="121">
          <cell r="A121" t="str">
            <v>1.01.06.03.004</v>
          </cell>
          <cell r="B121" t="str">
            <v>Retazos vidrios crudos</v>
          </cell>
          <cell r="C121">
            <v>1908595575</v>
          </cell>
        </row>
        <row r="122">
          <cell r="A122" t="str">
            <v>1.01.06.03.005</v>
          </cell>
          <cell r="B122" t="str">
            <v>Otros bienes de cambio</v>
          </cell>
          <cell r="C122">
            <v>1419672165</v>
          </cell>
        </row>
        <row r="123">
          <cell r="A123" t="str">
            <v>1.01.06.03.006</v>
          </cell>
          <cell r="B123" t="str">
            <v>Descabezados</v>
          </cell>
          <cell r="C123">
            <v>14499710</v>
          </cell>
        </row>
        <row r="124">
          <cell r="A124" t="str">
            <v>1.01.06.04.001</v>
          </cell>
          <cell r="B124" t="str">
            <v>Importaciones en curso bienes de cambio</v>
          </cell>
          <cell r="C124">
            <v>39421059</v>
          </cell>
        </row>
        <row r="125">
          <cell r="A125" t="str">
            <v>1.01.06.05.001</v>
          </cell>
          <cell r="B125" t="str">
            <v>Productos en proceso</v>
          </cell>
          <cell r="C125">
            <v>1467644083</v>
          </cell>
        </row>
        <row r="126">
          <cell r="A126" t="str">
            <v>1.01.06.06.001</v>
          </cell>
          <cell r="B126" t="str">
            <v>Vidrios procesados</v>
          </cell>
          <cell r="C126">
            <v>7440043325</v>
          </cell>
        </row>
        <row r="127">
          <cell r="A127" t="str">
            <v>1.01.06.98.002</v>
          </cell>
          <cell r="B127" t="str">
            <v>Transferencias sucursales</v>
          </cell>
          <cell r="C127">
            <v>140772685</v>
          </cell>
        </row>
        <row r="128">
          <cell r="A128" t="str">
            <v>1.01.06.98.003</v>
          </cell>
          <cell r="B128" t="str">
            <v>Mercaderias a ingresar</v>
          </cell>
          <cell r="C128">
            <v>8763904325</v>
          </cell>
        </row>
        <row r="129">
          <cell r="A129" t="str">
            <v>1.01.06.98.004</v>
          </cell>
          <cell r="B129" t="str">
            <v>Trasnferencia entre mismo codigo</v>
          </cell>
          <cell r="C129">
            <v>623744369</v>
          </cell>
        </row>
        <row r="130">
          <cell r="A130" t="str">
            <v>1.01.06.98.005</v>
          </cell>
          <cell r="B130" t="str">
            <v>Transferecia mercaderias sobrantes</v>
          </cell>
          <cell r="C130">
            <v>24879803</v>
          </cell>
        </row>
        <row r="131">
          <cell r="A131" t="str">
            <v>1.02.03.01.001</v>
          </cell>
          <cell r="B131" t="str">
            <v>Terrenos</v>
          </cell>
          <cell r="C131">
            <v>12997134637</v>
          </cell>
        </row>
        <row r="132">
          <cell r="A132" t="str">
            <v>1.02.03.01.002</v>
          </cell>
          <cell r="B132" t="str">
            <v>Edificios Propios</v>
          </cell>
          <cell r="C132">
            <v>86176965194</v>
          </cell>
        </row>
        <row r="133">
          <cell r="A133" t="str">
            <v>1.02.03.01.003</v>
          </cell>
          <cell r="B133" t="str">
            <v>(-) Deprec. Acumuladas-Edificios</v>
          </cell>
          <cell r="C133">
            <v>-16484925773</v>
          </cell>
        </row>
        <row r="134">
          <cell r="A134" t="str">
            <v>1.02.03.02.001</v>
          </cell>
          <cell r="B134" t="str">
            <v>Rodados</v>
          </cell>
          <cell r="C134">
            <v>4630059717</v>
          </cell>
        </row>
        <row r="135">
          <cell r="A135" t="str">
            <v>1.02.03.02.003</v>
          </cell>
          <cell r="B135" t="str">
            <v>Aeronaves</v>
          </cell>
          <cell r="C135">
            <v>15987204525</v>
          </cell>
        </row>
        <row r="136">
          <cell r="A136" t="str">
            <v>1.02.03.02.002</v>
          </cell>
          <cell r="B136" t="str">
            <v>(-) Deprec. Acumuladas-Rodados</v>
          </cell>
          <cell r="C136">
            <v>-3331680306</v>
          </cell>
        </row>
        <row r="137">
          <cell r="A137" t="str">
            <v>1.02.03.03.001</v>
          </cell>
          <cell r="B137" t="str">
            <v>Maquinarias y Equipos</v>
          </cell>
          <cell r="C137">
            <v>88654274203</v>
          </cell>
        </row>
        <row r="138">
          <cell r="A138" t="str">
            <v>1.02.03.03.002</v>
          </cell>
          <cell r="B138" t="str">
            <v>(-) Deprec. Acumuladas- Maquinarias y Equipos</v>
          </cell>
          <cell r="C138">
            <v>-49542635972</v>
          </cell>
        </row>
        <row r="139">
          <cell r="A139" t="str">
            <v>1.02.03.03.003</v>
          </cell>
          <cell r="B139" t="str">
            <v>Herramientas y equipos</v>
          </cell>
          <cell r="C139">
            <v>696499357</v>
          </cell>
        </row>
        <row r="140">
          <cell r="A140" t="str">
            <v>1.02.03.03.004</v>
          </cell>
          <cell r="B140" t="str">
            <v>(-) Deprec. Acumuladas-Herramientas y equipos</v>
          </cell>
          <cell r="C140">
            <v>-609983978</v>
          </cell>
        </row>
        <row r="141">
          <cell r="A141" t="str">
            <v>1.02.03.04.001</v>
          </cell>
          <cell r="B141" t="str">
            <v>Instalaciones Varias</v>
          </cell>
          <cell r="C141">
            <v>2881628414</v>
          </cell>
        </row>
        <row r="142">
          <cell r="A142" t="str">
            <v>1.02.03.04.002</v>
          </cell>
          <cell r="B142" t="str">
            <v>(-) Deprec. Acumuladas-Instalaciones Varias</v>
          </cell>
          <cell r="C142">
            <v>-1405180805</v>
          </cell>
        </row>
        <row r="143">
          <cell r="A143" t="str">
            <v>1.02.03.04.003</v>
          </cell>
          <cell r="B143" t="str">
            <v>Mejoras en propiedades de terceros</v>
          </cell>
          <cell r="C143">
            <v>889450716</v>
          </cell>
        </row>
        <row r="144">
          <cell r="A144" t="str">
            <v>1.02.03.04.004</v>
          </cell>
          <cell r="B144" t="str">
            <v>(-) Deprec. Acumuladas-Mejoras en propiedades de terceros</v>
          </cell>
          <cell r="C144">
            <v>-266254027</v>
          </cell>
        </row>
        <row r="145">
          <cell r="A145" t="str">
            <v>1.02.03.05.001</v>
          </cell>
          <cell r="B145" t="str">
            <v>Muebles y utiles</v>
          </cell>
          <cell r="C145">
            <v>3126274007</v>
          </cell>
        </row>
        <row r="146">
          <cell r="A146" t="str">
            <v>1.02.03.05.002</v>
          </cell>
          <cell r="B146" t="str">
            <v>(-) Deprec. Acumuladas-Muebles y Utiles</v>
          </cell>
          <cell r="C146">
            <v>-2424870891</v>
          </cell>
        </row>
        <row r="147">
          <cell r="A147" t="str">
            <v>1.02.03.06.001</v>
          </cell>
          <cell r="B147" t="str">
            <v>Equipos de Informatica</v>
          </cell>
          <cell r="C147">
            <v>3843110851</v>
          </cell>
        </row>
        <row r="148">
          <cell r="A148" t="str">
            <v>1.02.03.06.002</v>
          </cell>
          <cell r="B148" t="str">
            <v>(-) Deprec. Acumuladas-Equipos de Informatica</v>
          </cell>
          <cell r="C148">
            <v>-2812824948</v>
          </cell>
        </row>
        <row r="149">
          <cell r="A149" t="str">
            <v>1.02.03.07.001</v>
          </cell>
          <cell r="B149" t="str">
            <v>Leasing Equipos Informaticos</v>
          </cell>
          <cell r="C149">
            <v>550208454</v>
          </cell>
        </row>
        <row r="150">
          <cell r="A150" t="str">
            <v>1.02.04.03.001</v>
          </cell>
          <cell r="B150" t="str">
            <v>Desarrollo Software</v>
          </cell>
          <cell r="C150">
            <v>3979717726</v>
          </cell>
        </row>
        <row r="151">
          <cell r="A151" t="str">
            <v>1.02.04.04.001</v>
          </cell>
          <cell r="B151" t="str">
            <v>Licencia de Informatica</v>
          </cell>
          <cell r="C151">
            <v>90184407</v>
          </cell>
        </row>
        <row r="152">
          <cell r="A152" t="str">
            <v>1.02.04.04.002</v>
          </cell>
          <cell r="B152" t="str">
            <v>(-) Amortizacion Acumulada- Licencia de Informatica</v>
          </cell>
          <cell r="C152">
            <v>-11404870</v>
          </cell>
        </row>
        <row r="153">
          <cell r="A153" t="str">
            <v>1.02.05.01.002</v>
          </cell>
          <cell r="B153" t="str">
            <v>Obras en curso dpto. Corar piso 12</v>
          </cell>
          <cell r="C153">
            <v>1851544942</v>
          </cell>
        </row>
        <row r="154">
          <cell r="A154" t="str">
            <v>1.02.05.02.001</v>
          </cell>
          <cell r="B154" t="str">
            <v>Obras en curso maquinarias y equipos</v>
          </cell>
          <cell r="C154">
            <v>340272893</v>
          </cell>
        </row>
        <row r="155">
          <cell r="A155" t="str">
            <v>1.02.05.03.001</v>
          </cell>
          <cell r="B155" t="str">
            <v>Obras en curso desarrollo software SAP</v>
          </cell>
          <cell r="C155">
            <v>112819291</v>
          </cell>
        </row>
        <row r="156">
          <cell r="A156" t="str">
            <v>1.02.05.03.002</v>
          </cell>
          <cell r="B156" t="str">
            <v>Desarrollo software REIGLASS</v>
          </cell>
          <cell r="C156">
            <v>941915436</v>
          </cell>
        </row>
        <row r="157">
          <cell r="A157" t="str">
            <v>1.02.05.05.001</v>
          </cell>
          <cell r="B157" t="str">
            <v>Obras en curso Chaco</v>
          </cell>
          <cell r="C157">
            <v>89231888452</v>
          </cell>
        </row>
        <row r="158">
          <cell r="A158" t="str">
            <v>1.02.05.05.002</v>
          </cell>
          <cell r="B158" t="str">
            <v>Terrenos chaco en gestion</v>
          </cell>
          <cell r="C158">
            <v>1141922728</v>
          </cell>
        </row>
        <row r="159">
          <cell r="A159" t="str">
            <v>1.02.06.01.003</v>
          </cell>
          <cell r="B159" t="str">
            <v>Intereses a Devengar LP</v>
          </cell>
          <cell r="C159">
            <v>29725430990</v>
          </cell>
        </row>
        <row r="160">
          <cell r="A160" t="str">
            <v>2.01.01.01.001</v>
          </cell>
          <cell r="B160" t="str">
            <v>Proveedores locales</v>
          </cell>
          <cell r="C160">
            <v>30997766930</v>
          </cell>
        </row>
        <row r="161">
          <cell r="A161" t="str">
            <v>2.01.01.02.001</v>
          </cell>
          <cell r="B161" t="str">
            <v>Proveedores del Exterior</v>
          </cell>
          <cell r="C161">
            <v>1638353009</v>
          </cell>
        </row>
        <row r="162">
          <cell r="A162" t="str">
            <v>2.01.01.03.001</v>
          </cell>
          <cell r="B162" t="str">
            <v>Acreedores varios</v>
          </cell>
          <cell r="C162">
            <v>194490225</v>
          </cell>
        </row>
        <row r="163">
          <cell r="A163" t="str">
            <v>2.01.01.04.001</v>
          </cell>
          <cell r="B163" t="str">
            <v>Fondo fijo a reponer Insumos/ Abastecimiento</v>
          </cell>
          <cell r="C163">
            <v>5067427</v>
          </cell>
        </row>
        <row r="164">
          <cell r="A164" t="str">
            <v>2.01.01.04.003</v>
          </cell>
          <cell r="B164" t="str">
            <v>Fondo fijo a reponer Logistica Fdo</v>
          </cell>
          <cell r="C164">
            <v>6870000</v>
          </cell>
        </row>
        <row r="165">
          <cell r="A165" t="str">
            <v>2.01.01.04.004</v>
          </cell>
          <cell r="B165" t="str">
            <v>Fondo fijo a reponer Administracion</v>
          </cell>
          <cell r="C165">
            <v>3523341</v>
          </cell>
        </row>
        <row r="166">
          <cell r="A166" t="str">
            <v>2.01.01.04.005</v>
          </cell>
          <cell r="B166" t="str">
            <v>Fondo fijo a reponer Taller y Obra Fdo</v>
          </cell>
          <cell r="C166">
            <v>1951345</v>
          </cell>
        </row>
        <row r="167">
          <cell r="A167" t="str">
            <v>2.01.01.04.007</v>
          </cell>
          <cell r="B167" t="str">
            <v>Fondo fijo a reponer Administracion Minga</v>
          </cell>
          <cell r="C167">
            <v>3333582</v>
          </cell>
        </row>
        <row r="168">
          <cell r="A168" t="str">
            <v>2.01.01.04.008</v>
          </cell>
          <cell r="B168" t="str">
            <v>Fondo fijo a reponer Logistica Enc</v>
          </cell>
          <cell r="C168">
            <v>1932000</v>
          </cell>
        </row>
        <row r="169">
          <cell r="A169" t="str">
            <v>2.01.01.04.009</v>
          </cell>
          <cell r="B169" t="str">
            <v>Fondo fijo a reponer Administracion Enc</v>
          </cell>
          <cell r="C169">
            <v>2713861</v>
          </cell>
        </row>
        <row r="170">
          <cell r="A170" t="str">
            <v>2.01.01.04.010</v>
          </cell>
          <cell r="B170" t="str">
            <v>Fondo fijo a reponer Logistica PJC</v>
          </cell>
          <cell r="C170">
            <v>4195000</v>
          </cell>
        </row>
        <row r="171">
          <cell r="A171" t="str">
            <v>2.01.01.04.011</v>
          </cell>
          <cell r="B171" t="str">
            <v>Fondo fijo a reponer Administracion PJC</v>
          </cell>
          <cell r="C171">
            <v>1029833</v>
          </cell>
        </row>
        <row r="172">
          <cell r="A172" t="str">
            <v>2.01.01.05.001</v>
          </cell>
          <cell r="B172" t="str">
            <v>Provision facturas a recibir</v>
          </cell>
          <cell r="C172">
            <v>537744868</v>
          </cell>
        </row>
        <row r="173">
          <cell r="A173" t="str">
            <v>2.01.01.05.002</v>
          </cell>
          <cell r="B173" t="str">
            <v>Provisiones comerciales GS</v>
          </cell>
          <cell r="C173">
            <v>296309281</v>
          </cell>
        </row>
        <row r="174">
          <cell r="A174" t="str">
            <v>2.01.01.05.003</v>
          </cell>
          <cell r="B174" t="str">
            <v>Provisiones comerciales ME</v>
          </cell>
          <cell r="C174">
            <v>148599138</v>
          </cell>
        </row>
        <row r="175">
          <cell r="A175" t="str">
            <v>2.01.01.06.001</v>
          </cell>
          <cell r="B175" t="str">
            <v>Alukler S.A.</v>
          </cell>
          <cell r="C175">
            <v>11772036080</v>
          </cell>
        </row>
        <row r="176">
          <cell r="A176" t="str">
            <v>2.01.01.06.003</v>
          </cell>
          <cell r="B176" t="str">
            <v>Transportadora Carlos Costa S.A.</v>
          </cell>
          <cell r="C176">
            <v>390257822</v>
          </cell>
        </row>
        <row r="177">
          <cell r="A177" t="str">
            <v>2.01.01.06.005</v>
          </cell>
          <cell r="B177" t="str">
            <v>Glassber S.A.</v>
          </cell>
          <cell r="C177">
            <v>14619983418</v>
          </cell>
        </row>
        <row r="178">
          <cell r="A178" t="str">
            <v>2.01.01.07.002</v>
          </cell>
          <cell r="B178" t="str">
            <v>Cheques en Cartera Usd.</v>
          </cell>
          <cell r="C178">
            <v>0</v>
          </cell>
        </row>
        <row r="179">
          <cell r="A179" t="str">
            <v>2.01.02.01.001</v>
          </cell>
          <cell r="B179" t="str">
            <v>Prestamos Bancarios Banco Itau Guaranies</v>
          </cell>
          <cell r="C179">
            <v>12694300322</v>
          </cell>
        </row>
        <row r="180">
          <cell r="A180" t="str">
            <v>2.01.02.02.002</v>
          </cell>
          <cell r="B180" t="str">
            <v>Intereses a pagar Banco Itau Guaranies CP</v>
          </cell>
          <cell r="C180">
            <v>1371050081</v>
          </cell>
        </row>
        <row r="181">
          <cell r="A181" t="str">
            <v>2.01.02.02.001</v>
          </cell>
          <cell r="B181" t="str">
            <v>Intereses a pagar Banco Itau USD CP</v>
          </cell>
          <cell r="C181">
            <v>864106970</v>
          </cell>
        </row>
        <row r="182">
          <cell r="A182" t="str">
            <v>2.01.02.02.003</v>
          </cell>
          <cell r="B182" t="str">
            <v>Intereses a pagar bonos</v>
          </cell>
          <cell r="C182">
            <v>0</v>
          </cell>
        </row>
        <row r="183">
          <cell r="A183" t="str">
            <v>2.01.03.01.001</v>
          </cell>
          <cell r="B183" t="str">
            <v>Sueldos a pagar FDO</v>
          </cell>
          <cell r="C183">
            <v>982635007</v>
          </cell>
        </row>
        <row r="184">
          <cell r="A184" t="str">
            <v>2.01.03.01.002</v>
          </cell>
          <cell r="B184" t="str">
            <v>Sueldos a pagar MG</v>
          </cell>
          <cell r="C184">
            <v>207874153</v>
          </cell>
        </row>
        <row r="185">
          <cell r="A185" t="str">
            <v>2.01.03.01.003</v>
          </cell>
          <cell r="B185" t="str">
            <v>Sueldos a pagar ENC</v>
          </cell>
          <cell r="C185">
            <v>139044732</v>
          </cell>
        </row>
        <row r="186">
          <cell r="A186" t="str">
            <v>2.01.03.01.004</v>
          </cell>
          <cell r="B186" t="str">
            <v>Sueldos a pagar PJC</v>
          </cell>
          <cell r="C186">
            <v>139414479</v>
          </cell>
        </row>
        <row r="187">
          <cell r="A187" t="str">
            <v>2.01.03.02.001</v>
          </cell>
          <cell r="B187" t="str">
            <v>Ips a pagar FDO</v>
          </cell>
          <cell r="C187">
            <v>317340130</v>
          </cell>
        </row>
        <row r="188">
          <cell r="A188" t="str">
            <v>2.01.03.02.002</v>
          </cell>
          <cell r="B188" t="str">
            <v>Ips a pagar MG</v>
          </cell>
          <cell r="C188">
            <v>48962457</v>
          </cell>
        </row>
        <row r="189">
          <cell r="A189" t="str">
            <v>2.01.03.02.003</v>
          </cell>
          <cell r="B189" t="str">
            <v>Ips a pagar ENC</v>
          </cell>
          <cell r="C189">
            <v>33480175</v>
          </cell>
        </row>
        <row r="190">
          <cell r="A190" t="str">
            <v>2.01.03.02.004</v>
          </cell>
          <cell r="B190" t="str">
            <v>Ips a pagar PJC</v>
          </cell>
          <cell r="C190">
            <v>35745509</v>
          </cell>
        </row>
        <row r="191">
          <cell r="A191" t="str">
            <v>2.01.03.03.001</v>
          </cell>
          <cell r="B191" t="str">
            <v>Liquidaciones a pagar FDO</v>
          </cell>
          <cell r="C191">
            <v>-13904507</v>
          </cell>
        </row>
        <row r="192">
          <cell r="A192" t="str">
            <v>2.01.03.03.002</v>
          </cell>
          <cell r="B192" t="str">
            <v>Liquidaciones a pagar MG</v>
          </cell>
          <cell r="C192">
            <v>-12254044</v>
          </cell>
        </row>
        <row r="193">
          <cell r="A193" t="str">
            <v>2.01.03.03.003</v>
          </cell>
          <cell r="B193" t="str">
            <v>Liquidaciones a pagar Enc</v>
          </cell>
          <cell r="C193">
            <v>-5166300</v>
          </cell>
        </row>
        <row r="194">
          <cell r="A194" t="str">
            <v>2.01.03.03.004</v>
          </cell>
          <cell r="B194" t="str">
            <v>Liquidaciones a pagar PJC</v>
          </cell>
          <cell r="C194">
            <v>-9611023</v>
          </cell>
        </row>
        <row r="195">
          <cell r="A195" t="str">
            <v>2.01.03.04.001</v>
          </cell>
          <cell r="B195" t="str">
            <v>Descuentos judiciales a pagar</v>
          </cell>
          <cell r="C195">
            <v>-44472563</v>
          </cell>
        </row>
        <row r="196">
          <cell r="A196" t="str">
            <v>2.01.03.04.002</v>
          </cell>
          <cell r="B196" t="str">
            <v>Aguinaldos a pagar</v>
          </cell>
          <cell r="C196">
            <v>0</v>
          </cell>
        </row>
        <row r="197">
          <cell r="A197" t="str">
            <v>2.01.03.04.003</v>
          </cell>
          <cell r="B197" t="str">
            <v>Comisiones a pagar</v>
          </cell>
          <cell r="C197">
            <v>-9359237</v>
          </cell>
        </row>
        <row r="198">
          <cell r="A198" t="str">
            <v>2.01.03.05.001</v>
          </cell>
          <cell r="B198" t="str">
            <v>Provision aguinaldos</v>
          </cell>
          <cell r="C198">
            <v>1170790905</v>
          </cell>
        </row>
        <row r="199">
          <cell r="A199" t="str">
            <v>2.01.03.05.005</v>
          </cell>
          <cell r="B199" t="str">
            <v>Otras provisiones</v>
          </cell>
          <cell r="C199">
            <v>160447131</v>
          </cell>
        </row>
        <row r="200">
          <cell r="A200" t="str">
            <v>2.01.03.05.006</v>
          </cell>
          <cell r="B200" t="str">
            <v>Provisiones deposito judicial RRHH</v>
          </cell>
          <cell r="C200">
            <v>54787055</v>
          </cell>
        </row>
        <row r="201">
          <cell r="A201" t="str">
            <v>2.01.03.06.002</v>
          </cell>
          <cell r="B201" t="str">
            <v>Prevision para juicios (laborales)</v>
          </cell>
          <cell r="C201">
            <v>45666528</v>
          </cell>
        </row>
        <row r="202">
          <cell r="A202" t="str">
            <v>2.01.04.01.001</v>
          </cell>
          <cell r="B202" t="str">
            <v>DGGC a pagar</v>
          </cell>
          <cell r="C202">
            <v>321698174.59997559</v>
          </cell>
        </row>
        <row r="203">
          <cell r="A203" t="str">
            <v>2.01.04.02.001</v>
          </cell>
          <cell r="B203" t="str">
            <v>IVA debito fiscal 10%</v>
          </cell>
          <cell r="C203">
            <v>3935036</v>
          </cell>
        </row>
        <row r="204">
          <cell r="A204" t="str">
            <v>2.01.04.02.003</v>
          </cell>
          <cell r="B204" t="str">
            <v>Retencion IVA a terceros</v>
          </cell>
          <cell r="C204">
            <v>132157953</v>
          </cell>
        </row>
        <row r="205">
          <cell r="A205" t="str">
            <v>2.01.04.02.004</v>
          </cell>
          <cell r="B205" t="str">
            <v>Retencion RENTA a terceros</v>
          </cell>
          <cell r="C205">
            <v>10273618</v>
          </cell>
        </row>
        <row r="206">
          <cell r="A206" t="str">
            <v>2.01.05.02.001</v>
          </cell>
          <cell r="B206" t="str">
            <v>Otras deudas a pagar</v>
          </cell>
          <cell r="C206">
            <v>558670135</v>
          </cell>
        </row>
        <row r="207">
          <cell r="A207" t="str">
            <v>2.01.05.02.003</v>
          </cell>
          <cell r="B207" t="str">
            <v>Ventas diferidas</v>
          </cell>
          <cell r="C207">
            <v>902976266</v>
          </cell>
        </row>
        <row r="208">
          <cell r="A208" t="str">
            <v>2.01.06.01.001</v>
          </cell>
          <cell r="B208" t="str">
            <v>Anticipos de clientes locales</v>
          </cell>
          <cell r="C208">
            <v>523814796</v>
          </cell>
        </row>
        <row r="209">
          <cell r="A209" t="str">
            <v>2.01.06.01.002</v>
          </cell>
          <cell r="B209" t="str">
            <v>Anticipos de clientes migraciones</v>
          </cell>
          <cell r="C209">
            <v>14608274</v>
          </cell>
        </row>
        <row r="210">
          <cell r="A210" t="str">
            <v>2.01.06.01.003</v>
          </cell>
          <cell r="B210" t="str">
            <v>Anticipos de proyectos en ejecucion</v>
          </cell>
          <cell r="C210">
            <v>0</v>
          </cell>
        </row>
        <row r="211">
          <cell r="A211" t="str">
            <v>2.02.01.01.001</v>
          </cell>
          <cell r="B211" t="str">
            <v>Prevision para juicios laborales LP</v>
          </cell>
          <cell r="C211">
            <v>52127976</v>
          </cell>
        </row>
        <row r="212">
          <cell r="A212" t="str">
            <v>2.02.02.01.001</v>
          </cell>
          <cell r="B212" t="str">
            <v>Prestamos banco ITAU capital Guaranies LP</v>
          </cell>
          <cell r="C212">
            <v>29993400000</v>
          </cell>
        </row>
        <row r="213">
          <cell r="A213" t="str">
            <v>2.02.02.01.002</v>
          </cell>
          <cell r="B213" t="str">
            <v>Prestamos banco ITAU capital Usd. LP</v>
          </cell>
          <cell r="C213">
            <v>32751720000</v>
          </cell>
        </row>
        <row r="214">
          <cell r="A214" t="str">
            <v>2.02.02.02.001</v>
          </cell>
          <cell r="B214" t="str">
            <v>Intereses a pagar banco Itau Guaranies LP</v>
          </cell>
          <cell r="C214">
            <v>3286296285</v>
          </cell>
        </row>
        <row r="215">
          <cell r="A215" t="str">
            <v>2.02.02.02.002</v>
          </cell>
          <cell r="B215" t="str">
            <v>Intereses a pagar banco Itau Usd. LP</v>
          </cell>
          <cell r="C215">
            <v>1152142626</v>
          </cell>
        </row>
        <row r="216">
          <cell r="A216" t="str">
            <v>2.02.03.01.001</v>
          </cell>
          <cell r="B216" t="str">
            <v>Emision de bonos Guaranies</v>
          </cell>
          <cell r="C216">
            <v>56000000000</v>
          </cell>
        </row>
        <row r="217">
          <cell r="A217" t="str">
            <v>2.02.03.01.002</v>
          </cell>
          <cell r="B217" t="str">
            <v>Emision de bonos Dolares</v>
          </cell>
          <cell r="C217">
            <v>65283172945</v>
          </cell>
        </row>
        <row r="218">
          <cell r="A218" t="str">
            <v>2.02.03.02.01</v>
          </cell>
          <cell r="B218" t="str">
            <v>Intereses por emision de bonos Guaranies</v>
          </cell>
          <cell r="C218">
            <v>0</v>
          </cell>
        </row>
        <row r="219">
          <cell r="A219" t="str">
            <v>2.02.03.02.02</v>
          </cell>
          <cell r="B219" t="str">
            <v>Intereses por emision de bonos  Dolares</v>
          </cell>
          <cell r="C219">
            <v>0</v>
          </cell>
        </row>
        <row r="220">
          <cell r="A220" t="str">
            <v>3.01.01.01.001</v>
          </cell>
          <cell r="B220" t="str">
            <v>Capital Social</v>
          </cell>
          <cell r="C220">
            <v>200000000000</v>
          </cell>
        </row>
        <row r="221">
          <cell r="A221" t="str">
            <v>3.01.01.01.002</v>
          </cell>
          <cell r="B221" t="str">
            <v>Aporte para aumento de capital</v>
          </cell>
          <cell r="C221">
            <v>-7826983776</v>
          </cell>
        </row>
        <row r="222">
          <cell r="A222" t="str">
            <v>3.01.02.01.001</v>
          </cell>
          <cell r="B222" t="str">
            <v>Reserva Legal</v>
          </cell>
          <cell r="C222">
            <v>2720132014</v>
          </cell>
        </row>
        <row r="223">
          <cell r="A223" t="str">
            <v>3.01.02.01.002</v>
          </cell>
          <cell r="B223" t="str">
            <v>Reserva Revaluo</v>
          </cell>
          <cell r="C223">
            <v>0</v>
          </cell>
        </row>
        <row r="224">
          <cell r="A224" t="str">
            <v>3.01.02.01.003</v>
          </cell>
          <cell r="B224" t="str">
            <v>Reserva Revaluo Extraordinario</v>
          </cell>
          <cell r="C224">
            <v>11423641075</v>
          </cell>
        </row>
        <row r="225">
          <cell r="A225" t="str">
            <v>3.01.03.01.001</v>
          </cell>
          <cell r="B225" t="str">
            <v>Resultados Acumulados</v>
          </cell>
          <cell r="C225">
            <v>23482533132</v>
          </cell>
        </row>
        <row r="226">
          <cell r="A226" t="str">
            <v>3.01.03.01.002</v>
          </cell>
          <cell r="B226" t="str">
            <v>Resultado del Ejercicio</v>
          </cell>
          <cell r="C226">
            <v>172663</v>
          </cell>
        </row>
        <row r="227">
          <cell r="A227" t="str">
            <v>3.01.03.01.003</v>
          </cell>
          <cell r="B227" t="str">
            <v>Saldos iniciales de migracion</v>
          </cell>
          <cell r="C227">
            <v>-88678470</v>
          </cell>
        </row>
        <row r="228">
          <cell r="A228" t="str">
            <v>Período ganancias</v>
          </cell>
          <cell r="C228">
            <v>3122197277.4000001</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Base Inventiva 2020"/>
      <sheetName val="base SAP"/>
      <sheetName val="BASE SAP 2022"/>
      <sheetName val="BG"/>
      <sheetName val="ER"/>
      <sheetName val="EFE OK"/>
      <sheetName val="EEPN Modificado"/>
      <sheetName val="CBU 2021"/>
      <sheetName val="2"/>
      <sheetName val="3"/>
      <sheetName val="4"/>
      <sheetName val="5"/>
      <sheetName val="6"/>
      <sheetName val="7"/>
      <sheetName val="8"/>
      <sheetName val="9"/>
      <sheetName val="10"/>
      <sheetName val="11"/>
      <sheetName val="12"/>
      <sheetName val="13"/>
      <sheetName val="14"/>
      <sheetName val="15"/>
      <sheetName val="16.1"/>
      <sheetName val="Auxiliar CBU 2021"/>
      <sheetName val="EFE"/>
      <sheetName val="CBU 2020"/>
      <sheetName val="Auxiliar de CBU 2020"/>
      <sheetName val="Base Nota 16 IR 2021"/>
      <sheetName val="Altas y Bajas CBU"/>
      <sheetName val="Base Nota IR 16 2020"/>
    </sheetNames>
    <sheetDataSet>
      <sheetData sheetId="0"/>
      <sheetData sheetId="1"/>
      <sheetData sheetId="2">
        <row r="1">
          <cell r="E1"/>
        </row>
        <row r="2">
          <cell r="B2"/>
          <cell r="C2"/>
        </row>
        <row r="3">
          <cell r="B3"/>
          <cell r="C3"/>
        </row>
        <row r="4">
          <cell r="B4"/>
          <cell r="C4"/>
        </row>
        <row r="5">
          <cell r="B5"/>
          <cell r="C5"/>
          <cell r="E5"/>
        </row>
        <row r="6">
          <cell r="B6"/>
          <cell r="C6"/>
          <cell r="E6"/>
        </row>
        <row r="7">
          <cell r="B7" t="str">
            <v>Posición EEFF</v>
          </cell>
          <cell r="C7" t="str">
            <v>CUENTA SAP</v>
          </cell>
          <cell r="D7" t="str">
            <v>NOM_CUENTA</v>
          </cell>
          <cell r="E7" t="str">
            <v>Diciembre 2021 VF</v>
          </cell>
        </row>
        <row r="8">
          <cell r="B8"/>
          <cell r="C8" t="str">
            <v>1.01</v>
          </cell>
          <cell r="D8" t="str">
            <v>ACTIVO CORRIENTE</v>
          </cell>
          <cell r="E8">
            <v>172123664573</v>
          </cell>
        </row>
        <row r="9">
          <cell r="B9"/>
          <cell r="C9" t="str">
            <v>1.01.01</v>
          </cell>
          <cell r="D9" t="str">
            <v>DISPONIBILIDADES</v>
          </cell>
          <cell r="E9">
            <v>12989294033</v>
          </cell>
        </row>
        <row r="10">
          <cell r="B10"/>
          <cell r="C10" t="str">
            <v>1.01.01.01</v>
          </cell>
          <cell r="D10" t="str">
            <v>CAJA</v>
          </cell>
          <cell r="E10">
            <v>6644630</v>
          </cell>
        </row>
        <row r="11">
          <cell r="B11" t="str">
            <v>A</v>
          </cell>
          <cell r="C11" t="str">
            <v>1.01.01.01.001</v>
          </cell>
          <cell r="D11" t="str">
            <v>Caja Central Guaranies</v>
          </cell>
          <cell r="E11">
            <v>882623</v>
          </cell>
        </row>
        <row r="12">
          <cell r="B12" t="str">
            <v>A</v>
          </cell>
          <cell r="C12" t="str">
            <v>1.01.01.01.002</v>
          </cell>
          <cell r="D12" t="str">
            <v>Caja Central Usd.</v>
          </cell>
          <cell r="E12">
            <v>5085057</v>
          </cell>
        </row>
        <row r="13">
          <cell r="B13" t="str">
            <v>A</v>
          </cell>
          <cell r="C13" t="str">
            <v>1.01.01.01.007</v>
          </cell>
          <cell r="D13" t="str">
            <v>Caja Central Dólares Pjc</v>
          </cell>
          <cell r="E13">
            <v>0</v>
          </cell>
        </row>
        <row r="14">
          <cell r="B14" t="str">
            <v>A</v>
          </cell>
          <cell r="C14" t="str">
            <v>1.01.01.01.004</v>
          </cell>
          <cell r="D14" t="str">
            <v>Caja Central Reales</v>
          </cell>
          <cell r="E14">
            <v>676950</v>
          </cell>
        </row>
        <row r="15">
          <cell r="B15" t="str">
            <v>A</v>
          </cell>
          <cell r="C15" t="str">
            <v>1.01.01.01.006</v>
          </cell>
          <cell r="D15" t="str">
            <v>Caja Central Reales Pjc</v>
          </cell>
          <cell r="E15">
            <v>0</v>
          </cell>
        </row>
        <row r="16">
          <cell r="B16" t="str">
            <v>A</v>
          </cell>
          <cell r="C16" t="str">
            <v>1.01.01.01.005</v>
          </cell>
          <cell r="D16" t="str">
            <v>Caja Central Euros</v>
          </cell>
          <cell r="E16">
            <v>0</v>
          </cell>
        </row>
        <row r="17">
          <cell r="B17"/>
          <cell r="C17" t="str">
            <v>1.01.01.02</v>
          </cell>
          <cell r="D17" t="str">
            <v>RECAUDACIONES A DEPOSITAR</v>
          </cell>
          <cell r="E17">
            <v>33778846</v>
          </cell>
        </row>
        <row r="18">
          <cell r="B18" t="str">
            <v>A</v>
          </cell>
          <cell r="C18" t="str">
            <v>1.01.01.02.001</v>
          </cell>
          <cell r="D18" t="str">
            <v>Recaudaciones a depositar Guaranies</v>
          </cell>
          <cell r="E18">
            <v>-250713</v>
          </cell>
        </row>
        <row r="19">
          <cell r="B19" t="str">
            <v>A</v>
          </cell>
          <cell r="C19" t="str">
            <v>1.01.01.02.002</v>
          </cell>
          <cell r="D19" t="str">
            <v>Recaudaciones a depositar Usd.</v>
          </cell>
          <cell r="E19">
            <v>34029559</v>
          </cell>
        </row>
        <row r="20">
          <cell r="B20" t="str">
            <v>A</v>
          </cell>
          <cell r="C20" t="str">
            <v>1.01.01.02.003</v>
          </cell>
          <cell r="D20" t="str">
            <v>Recaudaciones a depositar Reales</v>
          </cell>
          <cell r="E20">
            <v>0</v>
          </cell>
        </row>
        <row r="21">
          <cell r="B21"/>
          <cell r="C21" t="str">
            <v>1.01.01.03</v>
          </cell>
          <cell r="D21" t="str">
            <v>FONDO FIJO</v>
          </cell>
          <cell r="E21">
            <v>60000004</v>
          </cell>
        </row>
        <row r="22">
          <cell r="B22" t="str">
            <v>A</v>
          </cell>
          <cell r="C22" t="str">
            <v>1.01.01.03.001</v>
          </cell>
          <cell r="D22" t="str">
            <v>Fondo Fijo Insumos FDO</v>
          </cell>
          <cell r="E22">
            <v>8000003</v>
          </cell>
        </row>
        <row r="23">
          <cell r="B23" t="str">
            <v>A</v>
          </cell>
          <cell r="C23" t="str">
            <v>1.01.01.03.002</v>
          </cell>
          <cell r="D23" t="str">
            <v>Fondo Fijo Logistica FDO</v>
          </cell>
          <cell r="E23">
            <v>10000000</v>
          </cell>
        </row>
        <row r="24">
          <cell r="B24" t="str">
            <v>A</v>
          </cell>
          <cell r="C24" t="str">
            <v>1.01.01.03.003</v>
          </cell>
          <cell r="D24" t="str">
            <v>Fondo Fijo Finanzas ENC</v>
          </cell>
          <cell r="E24">
            <v>4000000</v>
          </cell>
        </row>
        <row r="25">
          <cell r="B25" t="str">
            <v>A</v>
          </cell>
          <cell r="C25" t="str">
            <v>1.01.01.03.004</v>
          </cell>
          <cell r="D25" t="str">
            <v>Fondo Fijo Finanzas FDO</v>
          </cell>
          <cell r="E25">
            <v>5000000</v>
          </cell>
        </row>
        <row r="26">
          <cell r="B26" t="str">
            <v>A</v>
          </cell>
          <cell r="C26" t="str">
            <v>1.01.01.03.005</v>
          </cell>
          <cell r="D26" t="str">
            <v>Fondo Fijo Logistica MG</v>
          </cell>
          <cell r="E26">
            <v>6000000</v>
          </cell>
        </row>
        <row r="27">
          <cell r="B27" t="str">
            <v>A</v>
          </cell>
          <cell r="C27" t="str">
            <v>1.01.01.03.007</v>
          </cell>
          <cell r="D27" t="str">
            <v>Fondo Fijo Logistica ENC</v>
          </cell>
          <cell r="E27">
            <v>5000000</v>
          </cell>
        </row>
        <row r="28">
          <cell r="B28" t="str">
            <v>A</v>
          </cell>
          <cell r="C28" t="str">
            <v>1.01.01.03.008</v>
          </cell>
          <cell r="D28" t="str">
            <v>Fondo Fijo Planta Central y Villeta FDO</v>
          </cell>
          <cell r="E28">
            <v>5000001</v>
          </cell>
        </row>
        <row r="29">
          <cell r="B29" t="str">
            <v>A</v>
          </cell>
          <cell r="C29" t="str">
            <v>1.01.01.03.009</v>
          </cell>
          <cell r="D29" t="str">
            <v>Fondo Fijo Logistica PJC</v>
          </cell>
          <cell r="E29">
            <v>5000000</v>
          </cell>
        </row>
        <row r="30">
          <cell r="B30" t="str">
            <v>A</v>
          </cell>
          <cell r="C30" t="str">
            <v>1.01.01.03.010</v>
          </cell>
          <cell r="D30" t="str">
            <v>Fondo Fijo Admin PJC</v>
          </cell>
          <cell r="E30">
            <v>4000000</v>
          </cell>
        </row>
        <row r="31">
          <cell r="B31" t="str">
            <v>A</v>
          </cell>
          <cell r="C31" t="str">
            <v>1.01.01.03.012</v>
          </cell>
          <cell r="D31" t="str">
            <v>Fondo Fijo Admin MG</v>
          </cell>
          <cell r="E31">
            <v>7000000</v>
          </cell>
        </row>
        <row r="32">
          <cell r="B32" t="str">
            <v>A</v>
          </cell>
          <cell r="C32" t="str">
            <v>1.01.01.03.013</v>
          </cell>
          <cell r="D32" t="str">
            <v>Fondo Fijo Taller y Obras FDO</v>
          </cell>
          <cell r="E32">
            <v>1000000</v>
          </cell>
        </row>
        <row r="33">
          <cell r="B33"/>
          <cell r="C33" t="str">
            <v>1.01.01.04</v>
          </cell>
          <cell r="D33" t="str">
            <v>CAJA DE CAMBIO</v>
          </cell>
          <cell r="E33">
            <v>0</v>
          </cell>
        </row>
        <row r="34">
          <cell r="B34"/>
          <cell r="C34" t="str">
            <v>1.01.01.05</v>
          </cell>
          <cell r="D34" t="str">
            <v>BANCOS CUENTAS CORRIENTES GUARANIES</v>
          </cell>
          <cell r="E34">
            <v>8054885157</v>
          </cell>
        </row>
        <row r="35">
          <cell r="B35" t="str">
            <v>A</v>
          </cell>
          <cell r="C35" t="str">
            <v>1.01.01.05.001</v>
          </cell>
          <cell r="D35" t="str">
            <v>Banco Itau Cta.Cte. 300033791 GS</v>
          </cell>
          <cell r="E35">
            <v>3273447498</v>
          </cell>
        </row>
        <row r="36">
          <cell r="B36" t="str">
            <v>A</v>
          </cell>
          <cell r="C36" t="str">
            <v>1.01.01.05.004</v>
          </cell>
          <cell r="D36" t="str">
            <v>Banco Itau Cta. Cte. 2426/5 Guaranies</v>
          </cell>
          <cell r="E36">
            <v>561535831</v>
          </cell>
        </row>
        <row r="37">
          <cell r="B37" t="str">
            <v>A</v>
          </cell>
          <cell r="C37" t="str">
            <v>1.01.01.05.002</v>
          </cell>
          <cell r="D37" t="str">
            <v>Banco Continental Cta.Cte. 836100 Guaranies</v>
          </cell>
          <cell r="E37">
            <v>435103098</v>
          </cell>
        </row>
        <row r="38">
          <cell r="B38" t="str">
            <v>A</v>
          </cell>
          <cell r="C38" t="str">
            <v>1.01.01.05.003</v>
          </cell>
          <cell r="D38" t="str">
            <v>Banco Itau Cta.Cte. 600001139 GS</v>
          </cell>
          <cell r="E38">
            <v>527786224</v>
          </cell>
        </row>
        <row r="39">
          <cell r="B39" t="str">
            <v>A</v>
          </cell>
          <cell r="C39" t="str">
            <v>1.01.01.05.006</v>
          </cell>
          <cell r="D39" t="str">
            <v>Banco Citibank Cta.Cte. 0197682019 Guaranies</v>
          </cell>
          <cell r="E39">
            <v>82554576</v>
          </cell>
        </row>
        <row r="40">
          <cell r="B40" t="str">
            <v>A</v>
          </cell>
          <cell r="C40" t="str">
            <v>1.01.01.05.007</v>
          </cell>
          <cell r="D40" t="str">
            <v>Banco Do Brasil Cta.Cte. 327948 Guaranies</v>
          </cell>
          <cell r="E40">
            <v>105965503</v>
          </cell>
        </row>
        <row r="41">
          <cell r="B41" t="str">
            <v>A</v>
          </cell>
          <cell r="C41" t="str">
            <v>1.01.01.05.009</v>
          </cell>
          <cell r="D41" t="str">
            <v>Banco Basa GS-Capital Fondos Mutuos</v>
          </cell>
          <cell r="E41">
            <v>3068492427</v>
          </cell>
        </row>
        <row r="42">
          <cell r="B42"/>
          <cell r="C42" t="str">
            <v>1.01.01.06</v>
          </cell>
          <cell r="D42" t="str">
            <v>BANCOS CUENTAS CORRIENTES USD</v>
          </cell>
          <cell r="E42">
            <v>4398761864</v>
          </cell>
        </row>
        <row r="43">
          <cell r="B43" t="str">
            <v>A</v>
          </cell>
          <cell r="C43" t="str">
            <v>1.01.01.06.002</v>
          </cell>
          <cell r="D43" t="str">
            <v>Banco Itau Cta.Cte 350100717 Usd.</v>
          </cell>
          <cell r="E43">
            <v>1590448311</v>
          </cell>
        </row>
        <row r="44">
          <cell r="B44" t="str">
            <v>A</v>
          </cell>
          <cell r="C44" t="str">
            <v>1.01.01.06.004</v>
          </cell>
          <cell r="D44" t="str">
            <v>Banco Basa USD-Capital Fondos Mutuos</v>
          </cell>
          <cell r="E44">
            <v>20523</v>
          </cell>
        </row>
        <row r="45">
          <cell r="B45" t="str">
            <v>A</v>
          </cell>
          <cell r="C45" t="str">
            <v>1.01.01.06.005</v>
          </cell>
          <cell r="D45" t="str">
            <v>Banco Regional Casa de Bolsa S.A. Usd</v>
          </cell>
          <cell r="E45">
            <v>2808293030</v>
          </cell>
        </row>
        <row r="46">
          <cell r="B46"/>
          <cell r="C46" t="str">
            <v>1.01.01.07</v>
          </cell>
          <cell r="D46" t="str">
            <v>BANCOS CUENTAS CORRIENTES REALES</v>
          </cell>
          <cell r="E46">
            <v>112065396</v>
          </cell>
        </row>
        <row r="47">
          <cell r="B47" t="str">
            <v>A</v>
          </cell>
          <cell r="C47" t="str">
            <v>1.01.01.07.001</v>
          </cell>
          <cell r="D47" t="str">
            <v>Banco Continental Caja de Ahorro 34-30-003300-05 Reales</v>
          </cell>
          <cell r="E47">
            <v>112065396</v>
          </cell>
        </row>
        <row r="48">
          <cell r="B48"/>
          <cell r="C48" t="str">
            <v>1.01.01.08</v>
          </cell>
          <cell r="D48" t="str">
            <v>BANCOS CAJA DE AHORRO USD</v>
          </cell>
          <cell r="E48">
            <v>267499003</v>
          </cell>
        </row>
        <row r="49">
          <cell r="B49" t="str">
            <v>A</v>
          </cell>
          <cell r="C49" t="str">
            <v>1.01.01.08.001</v>
          </cell>
          <cell r="D49" t="str">
            <v>Banco Citibank Caja de Ahorro 5197682029 Usd.</v>
          </cell>
          <cell r="E49">
            <v>60190553</v>
          </cell>
        </row>
        <row r="50">
          <cell r="B50" t="str">
            <v>A</v>
          </cell>
          <cell r="C50" t="str">
            <v>1.01.01.08.002</v>
          </cell>
          <cell r="D50" t="str">
            <v>Banco Continental Caja de Ahorro 34 -27-240683-05 Usd.</v>
          </cell>
          <cell r="E50">
            <v>207308450</v>
          </cell>
        </row>
        <row r="51">
          <cell r="B51" t="str">
            <v>A</v>
          </cell>
          <cell r="C51" t="str">
            <v>1.01.01.08.003</v>
          </cell>
          <cell r="D51" t="str">
            <v>Banco Visión Caja de Ahorro 18325910 Guaraníes</v>
          </cell>
        </row>
        <row r="52">
          <cell r="B52"/>
          <cell r="C52" t="str">
            <v>1.01.01.09</v>
          </cell>
          <cell r="D52" t="str">
            <v>CUENTAS TRANSITORIAS DISPONIBILIDADES</v>
          </cell>
          <cell r="E52">
            <v>55659133</v>
          </cell>
        </row>
        <row r="53">
          <cell r="B53" t="str">
            <v>A</v>
          </cell>
          <cell r="C53" t="str">
            <v>1.01.01.09.001</v>
          </cell>
          <cell r="D53" t="str">
            <v>Cuenta control caja y bancos</v>
          </cell>
          <cell r="E53">
            <v>30000000</v>
          </cell>
        </row>
        <row r="54">
          <cell r="B54" t="str">
            <v>A</v>
          </cell>
          <cell r="C54" t="str">
            <v>1.01.01.09.002</v>
          </cell>
          <cell r="D54" t="str">
            <v>Cuenta control compra de divisas</v>
          </cell>
          <cell r="E54">
            <v>0</v>
          </cell>
        </row>
        <row r="55">
          <cell r="B55" t="str">
            <v>A</v>
          </cell>
          <cell r="C55" t="str">
            <v>1.01.01.09.003</v>
          </cell>
          <cell r="D55" t="str">
            <v>proveedores</v>
          </cell>
          <cell r="E55">
            <v>25659133</v>
          </cell>
        </row>
        <row r="56">
          <cell r="B56"/>
          <cell r="C56" t="str">
            <v>1.01.02</v>
          </cell>
          <cell r="D56" t="str">
            <v>CREDITOS</v>
          </cell>
          <cell r="E56">
            <v>20746216617</v>
          </cell>
        </row>
        <row r="57">
          <cell r="B57"/>
          <cell r="C57" t="str">
            <v>1.01.02.01</v>
          </cell>
          <cell r="D57" t="str">
            <v>CREDITOS CLIENTES</v>
          </cell>
          <cell r="E57">
            <v>10692791527</v>
          </cell>
        </row>
        <row r="58">
          <cell r="B58" t="str">
            <v>A</v>
          </cell>
          <cell r="C58" t="str">
            <v>1.01.02.01.001</v>
          </cell>
          <cell r="D58" t="str">
            <v>Creditos clientes</v>
          </cell>
          <cell r="E58">
            <v>9640843853</v>
          </cell>
        </row>
        <row r="59">
          <cell r="B59" t="str">
            <v>A</v>
          </cell>
          <cell r="C59" t="str">
            <v>1.01.02.01.003</v>
          </cell>
          <cell r="D59" t="str">
            <v>Creditos en gestion de cobro</v>
          </cell>
          <cell r="E59">
            <v>1051947674</v>
          </cell>
        </row>
        <row r="60">
          <cell r="B60"/>
          <cell r="C60" t="str">
            <v>1.01.02.02</v>
          </cell>
          <cell r="D60" t="str">
            <v>CHEQUES DIFERIDOS</v>
          </cell>
          <cell r="E60">
            <v>10521347676</v>
          </cell>
        </row>
        <row r="61">
          <cell r="B61" t="str">
            <v>A</v>
          </cell>
          <cell r="C61" t="str">
            <v>1.01.02.02.001</v>
          </cell>
          <cell r="D61" t="str">
            <v>Cheques diferidos Guaranies</v>
          </cell>
          <cell r="E61">
            <v>2442229116</v>
          </cell>
        </row>
        <row r="62">
          <cell r="B62" t="str">
            <v>A</v>
          </cell>
          <cell r="C62" t="str">
            <v>1.01.02.02.002</v>
          </cell>
          <cell r="D62" t="str">
            <v>Cheques diferidos Usd.</v>
          </cell>
          <cell r="E62">
            <v>876389476</v>
          </cell>
        </row>
        <row r="63">
          <cell r="B63" t="str">
            <v>A</v>
          </cell>
          <cell r="C63" t="str">
            <v>1.01.02.02.003</v>
          </cell>
          <cell r="D63" t="str">
            <v>Cheques diferidos en custodia Guaranies</v>
          </cell>
          <cell r="E63">
            <v>7202729084</v>
          </cell>
        </row>
        <row r="64">
          <cell r="B64"/>
          <cell r="C64" t="str">
            <v>1.01.02.03</v>
          </cell>
          <cell r="D64" t="str">
            <v>CHEQUES RECHAZADOS Y EN GESTION JUDICIAL</v>
          </cell>
          <cell r="E64">
            <v>7222953278</v>
          </cell>
        </row>
        <row r="65">
          <cell r="B65" t="str">
            <v>A</v>
          </cell>
          <cell r="C65" t="str">
            <v>1.01.02.03.001</v>
          </cell>
          <cell r="D65" t="str">
            <v>Cheques rechazados Guaranies</v>
          </cell>
          <cell r="E65">
            <v>1281919817</v>
          </cell>
        </row>
        <row r="66">
          <cell r="B66" t="str">
            <v>A</v>
          </cell>
          <cell r="C66" t="str">
            <v>1.01.02.03.002</v>
          </cell>
          <cell r="D66" t="str">
            <v>Cheques rechazados Usd.</v>
          </cell>
          <cell r="E66">
            <v>0</v>
          </cell>
        </row>
        <row r="67">
          <cell r="B67" t="str">
            <v>A</v>
          </cell>
          <cell r="C67" t="str">
            <v>1.01.02.03.003</v>
          </cell>
          <cell r="D67" t="str">
            <v>Cheques en gestion judicial Guaranies</v>
          </cell>
          <cell r="E67">
            <v>5941033461</v>
          </cell>
        </row>
        <row r="68">
          <cell r="B68"/>
          <cell r="C68" t="str">
            <v>1.01.02.04</v>
          </cell>
          <cell r="D68" t="str">
            <v>OTROS CHEQUES</v>
          </cell>
          <cell r="E68">
            <v>229954381</v>
          </cell>
        </row>
        <row r="69">
          <cell r="B69" t="str">
            <v>A</v>
          </cell>
          <cell r="C69" t="str">
            <v>1.01.02.04.003</v>
          </cell>
          <cell r="D69" t="str">
            <v>Cheques canjeado Guaranies</v>
          </cell>
          <cell r="E69">
            <v>229954381</v>
          </cell>
        </row>
        <row r="70">
          <cell r="B70"/>
          <cell r="C70" t="str">
            <v>1.01.02.05</v>
          </cell>
          <cell r="D70" t="str">
            <v>TARJETAS DE CREDITO</v>
          </cell>
          <cell r="E70">
            <v>8510007</v>
          </cell>
        </row>
        <row r="71">
          <cell r="B71" t="str">
            <v>A</v>
          </cell>
          <cell r="C71" t="str">
            <v>1.01.02.05.001</v>
          </cell>
          <cell r="D71" t="str">
            <v>Tarjetas al Cobro</v>
          </cell>
          <cell r="E71">
            <v>8510007</v>
          </cell>
        </row>
        <row r="72">
          <cell r="B72"/>
          <cell r="C72" t="str">
            <v>1.01.02.06</v>
          </cell>
          <cell r="D72" t="str">
            <v>PREVISIONES PARA CUENTAS INCOBRABLES</v>
          </cell>
          <cell r="E72">
            <v>-7929340252</v>
          </cell>
        </row>
        <row r="73">
          <cell r="B73" t="str">
            <v>A</v>
          </cell>
          <cell r="C73" t="str">
            <v>1.01.02.06.001</v>
          </cell>
          <cell r="D73" t="str">
            <v>Previsiones para cuentas incobrables</v>
          </cell>
          <cell r="E73">
            <v>-7929340252</v>
          </cell>
        </row>
        <row r="74">
          <cell r="B74"/>
          <cell r="C74" t="str">
            <v>1.01.03</v>
          </cell>
          <cell r="D74" t="str">
            <v>CREDITOS FISCALES</v>
          </cell>
          <cell r="E74">
            <v>1675470182</v>
          </cell>
        </row>
        <row r="75">
          <cell r="B75"/>
          <cell r="C75" t="str">
            <v>1.01.03.01</v>
          </cell>
          <cell r="D75" t="str">
            <v>IVA</v>
          </cell>
          <cell r="E75">
            <v>192425193</v>
          </cell>
        </row>
        <row r="76">
          <cell r="B76" t="str">
            <v>A</v>
          </cell>
          <cell r="C76" t="str">
            <v>1.01.03.01.001</v>
          </cell>
          <cell r="D76" t="str">
            <v>IVA credito fiscal 10%</v>
          </cell>
          <cell r="E76">
            <v>140259640</v>
          </cell>
        </row>
        <row r="77">
          <cell r="B77" t="str">
            <v>A</v>
          </cell>
          <cell r="C77" t="str">
            <v>1.01.03.01.003</v>
          </cell>
          <cell r="D77" t="str">
            <v>Retenciones IVA recibidas</v>
          </cell>
          <cell r="E77">
            <v>25367405</v>
          </cell>
        </row>
        <row r="78">
          <cell r="B78" t="str">
            <v>A</v>
          </cell>
          <cell r="C78" t="str">
            <v>1.01.03.01.004</v>
          </cell>
          <cell r="D78" t="str">
            <v>IVA credito fiscal</v>
          </cell>
          <cell r="E78">
            <v>26798148</v>
          </cell>
        </row>
        <row r="79">
          <cell r="B79"/>
          <cell r="C79" t="str">
            <v>1.01.03.02</v>
          </cell>
          <cell r="D79" t="str">
            <v>RENTA</v>
          </cell>
          <cell r="E79">
            <v>1483044989</v>
          </cell>
        </row>
        <row r="80">
          <cell r="B80" t="str">
            <v>A</v>
          </cell>
          <cell r="C80" t="str">
            <v>1.01.03.02.001</v>
          </cell>
          <cell r="D80" t="str">
            <v>Retenciones y percepciones computables renta</v>
          </cell>
          <cell r="E80">
            <v>974941</v>
          </cell>
        </row>
        <row r="81">
          <cell r="B81" t="str">
            <v>A</v>
          </cell>
          <cell r="C81" t="str">
            <v>1.01.03.02.002</v>
          </cell>
          <cell r="D81" t="str">
            <v>Anticipos impuesto a la renta</v>
          </cell>
          <cell r="E81">
            <v>1019614424</v>
          </cell>
        </row>
        <row r="82">
          <cell r="B82" t="str">
            <v>A</v>
          </cell>
          <cell r="C82" t="str">
            <v>1.01.03.02.003</v>
          </cell>
          <cell r="D82" t="str">
            <v>Retencion IRE aduana</v>
          </cell>
          <cell r="E82">
            <v>462455624</v>
          </cell>
        </row>
        <row r="83">
          <cell r="B83"/>
          <cell r="C83" t="str">
            <v>1.01.04</v>
          </cell>
          <cell r="D83" t="str">
            <v>OTROS CREDITOS</v>
          </cell>
          <cell r="E83">
            <v>7610820232</v>
          </cell>
        </row>
        <row r="84">
          <cell r="B84"/>
          <cell r="C84" t="str">
            <v>1.01.04.01</v>
          </cell>
          <cell r="D84" t="str">
            <v>GASTOS A RENDIR</v>
          </cell>
          <cell r="E84">
            <v>160456636</v>
          </cell>
        </row>
        <row r="85">
          <cell r="B85" t="str">
            <v>A</v>
          </cell>
          <cell r="C85" t="str">
            <v>1.01.04.01.001</v>
          </cell>
          <cell r="D85" t="str">
            <v>Anticipo viaticos a rendir</v>
          </cell>
          <cell r="E85">
            <v>1128220</v>
          </cell>
        </row>
        <row r="86">
          <cell r="B86" t="str">
            <v>A</v>
          </cell>
          <cell r="C86" t="str">
            <v>1.01.04.01.002</v>
          </cell>
          <cell r="D86" t="str">
            <v>Otros anticipos</v>
          </cell>
          <cell r="E86">
            <v>159328416</v>
          </cell>
        </row>
        <row r="87">
          <cell r="B87"/>
          <cell r="C87" t="str">
            <v>1.01.04.02</v>
          </cell>
          <cell r="D87" t="str">
            <v>ANTICIPOS PROVEEDORES</v>
          </cell>
          <cell r="E87">
            <v>5875593973</v>
          </cell>
        </row>
        <row r="88">
          <cell r="B88" t="str">
            <v>A</v>
          </cell>
          <cell r="C88" t="str">
            <v>1.01.04.02.003</v>
          </cell>
          <cell r="D88" t="str">
            <v>Anticipos a proveedores exterior</v>
          </cell>
          <cell r="E88">
            <v>5866399173</v>
          </cell>
        </row>
        <row r="89">
          <cell r="B89" t="str">
            <v>A</v>
          </cell>
          <cell r="C89" t="str">
            <v>1.01.04.02.004</v>
          </cell>
          <cell r="D89" t="str">
            <v>Anticipos a proveedores locales</v>
          </cell>
          <cell r="E89">
            <v>9194800</v>
          </cell>
        </row>
        <row r="90">
          <cell r="B90"/>
          <cell r="C90" t="str">
            <v>1.01.04.03</v>
          </cell>
          <cell r="D90" t="str">
            <v>PRESTAMOS INTERCOMPANIAS</v>
          </cell>
          <cell r="E90">
            <v>256065185</v>
          </cell>
        </row>
        <row r="91">
          <cell r="B91" t="str">
            <v>A</v>
          </cell>
          <cell r="C91" t="str">
            <v xml:space="preserve">1.01.04.03.005 </v>
          </cell>
          <cell r="D91" t="str">
            <v>Anticipos Glassber S.A. - Migración</v>
          </cell>
          <cell r="E91">
            <v>256065185</v>
          </cell>
        </row>
        <row r="92">
          <cell r="B92" t="str">
            <v>A</v>
          </cell>
          <cell r="C92" t="str">
            <v>1.01.04.03.008</v>
          </cell>
          <cell r="D92" t="str">
            <v>Anticipos Di Vetro S.A.</v>
          </cell>
        </row>
        <row r="93">
          <cell r="B93" t="str">
            <v>A</v>
          </cell>
          <cell r="C93" t="str">
            <v>1.01.04.03.005</v>
          </cell>
          <cell r="D93" t="str">
            <v>Anticipos Glassber S.A. - Migracion</v>
          </cell>
        </row>
        <row r="94">
          <cell r="B94"/>
          <cell r="C94" t="str">
            <v>1.01.04.04</v>
          </cell>
          <cell r="D94" t="str">
            <v>ANTICIPOS DESPACHOS</v>
          </cell>
          <cell r="E94">
            <v>232872290</v>
          </cell>
        </row>
        <row r="95">
          <cell r="B95" t="str">
            <v>A</v>
          </cell>
          <cell r="C95" t="str">
            <v>1.01.04.04.001</v>
          </cell>
          <cell r="D95" t="str">
            <v>Anticipos para despachos de importacion</v>
          </cell>
          <cell r="E95">
            <v>232872290</v>
          </cell>
        </row>
        <row r="96">
          <cell r="B96"/>
          <cell r="C96" t="str">
            <v>1.01.04.05</v>
          </cell>
          <cell r="D96" t="str">
            <v>CUENTAS POR COBRAR PERSONAL</v>
          </cell>
          <cell r="E96">
            <v>43089113</v>
          </cell>
        </row>
        <row r="97">
          <cell r="B97" t="str">
            <v>A</v>
          </cell>
          <cell r="C97" t="str">
            <v>1.01.04.05.001</v>
          </cell>
          <cell r="D97" t="str">
            <v>Anticipos de sueldos</v>
          </cell>
          <cell r="E97">
            <v>600000</v>
          </cell>
        </row>
        <row r="98">
          <cell r="B98" t="str">
            <v>A</v>
          </cell>
          <cell r="C98" t="str">
            <v>1.01.04.05.002</v>
          </cell>
          <cell r="D98" t="str">
            <v>Cuentas por cobrar personal comedor</v>
          </cell>
          <cell r="E98">
            <v>0</v>
          </cell>
        </row>
        <row r="99">
          <cell r="B99" t="str">
            <v>A</v>
          </cell>
          <cell r="C99" t="str">
            <v>1.01.04.05.003</v>
          </cell>
          <cell r="D99" t="str">
            <v>Cuentas por cobrar personal uniformes</v>
          </cell>
          <cell r="E99">
            <v>0</v>
          </cell>
        </row>
        <row r="100">
          <cell r="B100" t="str">
            <v>A</v>
          </cell>
          <cell r="C100" t="str">
            <v>1.01.04.05.004</v>
          </cell>
          <cell r="D100" t="str">
            <v>Cuentas por cobrar seguro medico</v>
          </cell>
          <cell r="E100">
            <v>0</v>
          </cell>
        </row>
        <row r="101">
          <cell r="B101" t="str">
            <v>A</v>
          </cell>
          <cell r="C101" t="str">
            <v>1.01.04.05.005</v>
          </cell>
          <cell r="D101" t="str">
            <v>Cuentas por cobrar reparacion celulares</v>
          </cell>
          <cell r="E101">
            <v>-100124</v>
          </cell>
        </row>
        <row r="102">
          <cell r="B102" t="str">
            <v>A</v>
          </cell>
          <cell r="C102" t="str">
            <v>1.01.04.05.007</v>
          </cell>
          <cell r="D102" t="str">
            <v>Cuentas por cobrar personal cooperativa</v>
          </cell>
          <cell r="E102">
            <v>0</v>
          </cell>
        </row>
        <row r="103">
          <cell r="B103" t="str">
            <v>A</v>
          </cell>
          <cell r="C103" t="str">
            <v>1.01.04.05.008</v>
          </cell>
          <cell r="D103" t="str">
            <v>Cuentas por cobrar personal farmacia</v>
          </cell>
          <cell r="E103">
            <v>0</v>
          </cell>
        </row>
        <row r="104">
          <cell r="B104" t="str">
            <v>A</v>
          </cell>
          <cell r="C104" t="str">
            <v>1.01.04.05.009</v>
          </cell>
          <cell r="D104" t="str">
            <v>Deposito judicial RRHH</v>
          </cell>
          <cell r="E104">
            <v>54787055</v>
          </cell>
        </row>
        <row r="105">
          <cell r="B105" t="str">
            <v>A</v>
          </cell>
          <cell r="C105" t="str">
            <v>1.01.04.05.011</v>
          </cell>
          <cell r="D105" t="str">
            <v>Otros descuentos</v>
          </cell>
          <cell r="E105">
            <v>-12197818</v>
          </cell>
        </row>
        <row r="106">
          <cell r="B106"/>
          <cell r="C106" t="str">
            <v>1.01.04.06</v>
          </cell>
          <cell r="D106" t="str">
            <v>CUENTAS A COBRAR DIRECTORES</v>
          </cell>
          <cell r="E106">
            <v>0</v>
          </cell>
        </row>
        <row r="107">
          <cell r="B107"/>
          <cell r="C107" t="str">
            <v>1.04.04.07</v>
          </cell>
          <cell r="D107" t="str">
            <v>CUENTAS A RECUPERAR</v>
          </cell>
          <cell r="E107">
            <v>840409508</v>
          </cell>
        </row>
        <row r="108">
          <cell r="B108" t="str">
            <v>A</v>
          </cell>
          <cell r="C108" t="str">
            <v>1.01.04.07.001</v>
          </cell>
          <cell r="D108" t="str">
            <v>Siniestros a cobrar mercaderias</v>
          </cell>
          <cell r="E108">
            <v>346521308</v>
          </cell>
        </row>
        <row r="109">
          <cell r="B109" t="str">
            <v>A</v>
          </cell>
          <cell r="C109" t="str">
            <v>1.01.04.07.004</v>
          </cell>
          <cell r="D109" t="str">
            <v>Debitos por embargo judicial a recuperar</v>
          </cell>
          <cell r="E109">
            <v>8492675</v>
          </cell>
        </row>
        <row r="110">
          <cell r="B110" t="str">
            <v>A</v>
          </cell>
          <cell r="C110" t="str">
            <v>1.01.04.07.005</v>
          </cell>
          <cell r="D110" t="str">
            <v>Descuentos por compras VASA</v>
          </cell>
          <cell r="E110">
            <v>80544361</v>
          </cell>
        </row>
        <row r="111">
          <cell r="B111" t="str">
            <v>A</v>
          </cell>
          <cell r="C111" t="str">
            <v>1.01.04.07.006</v>
          </cell>
          <cell r="D111" t="str">
            <v>Siniestros a recuperar</v>
          </cell>
          <cell r="E111">
            <v>404851164</v>
          </cell>
        </row>
        <row r="112">
          <cell r="B112"/>
          <cell r="C112" t="str">
            <v>1.01.04.08</v>
          </cell>
          <cell r="D112" t="str">
            <v>OTRAS CUENTAS POR COBRAR</v>
          </cell>
          <cell r="E112">
            <v>25000</v>
          </cell>
        </row>
        <row r="113">
          <cell r="B113" t="str">
            <v>A</v>
          </cell>
          <cell r="C113" t="str">
            <v>1.01.04.08.001</v>
          </cell>
          <cell r="D113" t="str">
            <v>Otras cuentas por cobrar</v>
          </cell>
          <cell r="E113">
            <v>25000</v>
          </cell>
        </row>
        <row r="114">
          <cell r="B114"/>
          <cell r="C114" t="str">
            <v>1.01.04.09</v>
          </cell>
          <cell r="D114" t="str">
            <v>GARANTIAS</v>
          </cell>
          <cell r="E114">
            <v>202308527</v>
          </cell>
        </row>
        <row r="115">
          <cell r="B115" t="str">
            <v>A</v>
          </cell>
          <cell r="C115" t="str">
            <v>1.01.04.09.001</v>
          </cell>
          <cell r="D115" t="str">
            <v>Garantias de alquiler</v>
          </cell>
          <cell r="E115">
            <v>18059535</v>
          </cell>
        </row>
        <row r="116">
          <cell r="B116" t="str">
            <v>A</v>
          </cell>
          <cell r="C116" t="str">
            <v>1.01.04.09.002</v>
          </cell>
          <cell r="D116" t="str">
            <v>Otras garantias</v>
          </cell>
          <cell r="E116">
            <v>184248992</v>
          </cell>
        </row>
        <row r="117">
          <cell r="B117" t="str">
            <v>A</v>
          </cell>
          <cell r="C117" t="str">
            <v>1.01.04.09.003</v>
          </cell>
          <cell r="D117" t="str">
            <v>Alquileres pagados por adelantado</v>
          </cell>
          <cell r="E117">
            <v>0</v>
          </cell>
        </row>
        <row r="118">
          <cell r="B118"/>
          <cell r="C118" t="str">
            <v>1.01.04.10</v>
          </cell>
          <cell r="D118" t="str">
            <v>DEUDORES VARIOS</v>
          </cell>
          <cell r="E118">
            <v>0</v>
          </cell>
        </row>
        <row r="119">
          <cell r="B119" t="str">
            <v>A</v>
          </cell>
          <cell r="C119" t="str">
            <v>1.01.04.10.002</v>
          </cell>
          <cell r="D119" t="str">
            <v>Deudores varios</v>
          </cell>
          <cell r="E119">
            <v>0</v>
          </cell>
        </row>
        <row r="120">
          <cell r="B120"/>
          <cell r="C120" t="str">
            <v>1.01.04.11</v>
          </cell>
          <cell r="D120" t="str">
            <v>CUENTAS TRANSITORIAS</v>
          </cell>
          <cell r="E120">
            <v>0</v>
          </cell>
        </row>
        <row r="121">
          <cell r="B121"/>
          <cell r="C121" t="str">
            <v>1.01.05</v>
          </cell>
          <cell r="D121" t="str">
            <v>CARGOS DIFERIDOS CP</v>
          </cell>
          <cell r="E121">
            <v>190818612</v>
          </cell>
        </row>
        <row r="122">
          <cell r="B122"/>
          <cell r="C122" t="str">
            <v>1.01.05.01</v>
          </cell>
          <cell r="D122" t="str">
            <v>GASTOS A DEVENGAR</v>
          </cell>
          <cell r="E122">
            <v>190818612</v>
          </cell>
        </row>
        <row r="123">
          <cell r="B123" t="str">
            <v>A</v>
          </cell>
          <cell r="C123" t="str">
            <v>1.01.05.01.001</v>
          </cell>
          <cell r="D123" t="str">
            <v>Gastos a devengar</v>
          </cell>
          <cell r="E123">
            <v>24168941</v>
          </cell>
        </row>
        <row r="124">
          <cell r="B124" t="str">
            <v>A</v>
          </cell>
          <cell r="C124" t="str">
            <v>1.01.05.01.003</v>
          </cell>
          <cell r="D124" t="str">
            <v>Otras cuentas a Devengar</v>
          </cell>
          <cell r="E124">
            <v>166649671</v>
          </cell>
        </row>
        <row r="125">
          <cell r="B125" t="str">
            <v>A</v>
          </cell>
          <cell r="C125" t="str">
            <v>1.01.05.01.002</v>
          </cell>
          <cell r="D125" t="str">
            <v>Seguros a devengar</v>
          </cell>
          <cell r="E125">
            <v>0</v>
          </cell>
        </row>
        <row r="126">
          <cell r="B126" t="str">
            <v>A</v>
          </cell>
          <cell r="C126" t="str">
            <v>1.01.05.01.004</v>
          </cell>
          <cell r="D126" t="str">
            <v>Intereses a devengar CP</v>
          </cell>
        </row>
        <row r="127">
          <cell r="B127"/>
          <cell r="C127" t="str">
            <v>1.01.06</v>
          </cell>
          <cell r="D127" t="str">
            <v>INVENTARIOS</v>
          </cell>
          <cell r="E127">
            <v>128911044897</v>
          </cell>
        </row>
        <row r="128">
          <cell r="B128"/>
          <cell r="C128" t="str">
            <v>1.01.06.01</v>
          </cell>
          <cell r="D128" t="str">
            <v>MERCADERIAS</v>
          </cell>
          <cell r="E128">
            <v>112086096741</v>
          </cell>
        </row>
        <row r="129">
          <cell r="B129" t="str">
            <v>A</v>
          </cell>
          <cell r="C129" t="str">
            <v>1.01.06.01.001</v>
          </cell>
          <cell r="D129" t="str">
            <v>Mercaderias vidrios crudos</v>
          </cell>
          <cell r="E129">
            <v>52785630037</v>
          </cell>
        </row>
        <row r="130">
          <cell r="B130" t="str">
            <v>A</v>
          </cell>
          <cell r="C130" t="str">
            <v>1.01.06.01.002</v>
          </cell>
          <cell r="D130" t="str">
            <v>Mercaderias perfiles</v>
          </cell>
          <cell r="E130">
            <v>6796353410</v>
          </cell>
        </row>
        <row r="131">
          <cell r="B131" t="str">
            <v>A</v>
          </cell>
          <cell r="C131" t="str">
            <v>1.01.06.01.003</v>
          </cell>
          <cell r="D131" t="str">
            <v>Mercaderias herrajes</v>
          </cell>
          <cell r="E131">
            <v>12684160164</v>
          </cell>
        </row>
        <row r="132">
          <cell r="B132" t="str">
            <v>A</v>
          </cell>
          <cell r="C132" t="str">
            <v>1.01.06.01.004</v>
          </cell>
          <cell r="D132" t="str">
            <v>Mercaderias construccion en seco</v>
          </cell>
          <cell r="E132">
            <v>7526005290</v>
          </cell>
        </row>
        <row r="133">
          <cell r="B133" t="str">
            <v>A</v>
          </cell>
          <cell r="C133" t="str">
            <v>1.01.06.01.005</v>
          </cell>
          <cell r="D133" t="str">
            <v>Mercaderias carpinteria de aluminio</v>
          </cell>
          <cell r="E133">
            <v>26256459799</v>
          </cell>
        </row>
        <row r="134">
          <cell r="B134" t="str">
            <v>A</v>
          </cell>
          <cell r="C134" t="str">
            <v>1.01.06.01.006</v>
          </cell>
          <cell r="D134" t="str">
            <v>Mercaderias siliconas</v>
          </cell>
          <cell r="E134">
            <v>5341109</v>
          </cell>
        </row>
        <row r="135">
          <cell r="B135" t="str">
            <v>A</v>
          </cell>
          <cell r="C135" t="str">
            <v>1.01.06.01.007</v>
          </cell>
          <cell r="D135" t="str">
            <v>Mercaderias divisorias</v>
          </cell>
          <cell r="E135">
            <v>0</v>
          </cell>
        </row>
        <row r="136">
          <cell r="B136" t="str">
            <v>A</v>
          </cell>
          <cell r="C136" t="str">
            <v>1.01.06.01.008</v>
          </cell>
          <cell r="D136" t="str">
            <v>Mercaderias insumos para la venta</v>
          </cell>
          <cell r="E136">
            <v>0</v>
          </cell>
        </row>
        <row r="137">
          <cell r="B137" t="str">
            <v>A</v>
          </cell>
          <cell r="C137" t="str">
            <v>1.01.06.01.010</v>
          </cell>
          <cell r="D137" t="str">
            <v>Mercaderias productos estandar</v>
          </cell>
          <cell r="E137">
            <v>330589907</v>
          </cell>
        </row>
        <row r="138">
          <cell r="B138" t="str">
            <v>A</v>
          </cell>
          <cell r="C138" t="str">
            <v>1.01.06.01.011</v>
          </cell>
          <cell r="D138" t="str">
            <v>Mercaderias locales</v>
          </cell>
          <cell r="E138">
            <v>429185409</v>
          </cell>
        </row>
        <row r="139">
          <cell r="B139" t="str">
            <v>A</v>
          </cell>
          <cell r="C139" t="str">
            <v>1.01.06.01.012</v>
          </cell>
          <cell r="D139" t="str">
            <v>Mercaderias importadas</v>
          </cell>
          <cell r="E139">
            <v>3799625416</v>
          </cell>
        </row>
        <row r="140">
          <cell r="B140" t="str">
            <v>A</v>
          </cell>
          <cell r="C140" t="str">
            <v>1.01.06.01.014</v>
          </cell>
          <cell r="D140" t="str">
            <v>Mercaderias obras</v>
          </cell>
          <cell r="E140">
            <v>406182</v>
          </cell>
        </row>
        <row r="141">
          <cell r="B141" t="str">
            <v>A</v>
          </cell>
          <cell r="C141" t="str">
            <v>1.01.06.01.015</v>
          </cell>
          <cell r="D141" t="str">
            <v>Insumos MKT</v>
          </cell>
          <cell r="E141">
            <v>8604616</v>
          </cell>
        </row>
        <row r="142">
          <cell r="B142" t="str">
            <v>A</v>
          </cell>
          <cell r="C142" t="str">
            <v>1.01.06.01.016</v>
          </cell>
          <cell r="D142" t="str">
            <v>Insumos en deposito</v>
          </cell>
          <cell r="E142">
            <v>1684047322</v>
          </cell>
        </row>
        <row r="143">
          <cell r="B143" t="str">
            <v>A</v>
          </cell>
          <cell r="C143" t="str">
            <v>1.01.06.01.018</v>
          </cell>
          <cell r="D143" t="str">
            <v>TCA Movimientos Stock</v>
          </cell>
          <cell r="E143">
            <v>-236193421</v>
          </cell>
        </row>
        <row r="144">
          <cell r="B144" t="str">
            <v>A</v>
          </cell>
          <cell r="C144" t="str">
            <v>1.01.06.01.019</v>
          </cell>
          <cell r="D144" t="str">
            <v>Movimientos Stock Laminados</v>
          </cell>
          <cell r="E144">
            <v>542315071</v>
          </cell>
        </row>
        <row r="145">
          <cell r="B145" t="str">
            <v>A</v>
          </cell>
          <cell r="C145" t="str">
            <v>1.01.06.01.020</v>
          </cell>
          <cell r="D145" t="str">
            <v>Transferencia entre codigos</v>
          </cell>
          <cell r="E145">
            <v>-893573527</v>
          </cell>
        </row>
        <row r="146">
          <cell r="B146" t="str">
            <v>A</v>
          </cell>
          <cell r="C146" t="str">
            <v>1.01.06.01.021</v>
          </cell>
          <cell r="D146" t="str">
            <v>Movimiento Scrap Perfiles</v>
          </cell>
          <cell r="E146">
            <v>367140883</v>
          </cell>
        </row>
        <row r="147">
          <cell r="B147" t="str">
            <v>A</v>
          </cell>
          <cell r="C147" t="str">
            <v>1.01.06.01.022</v>
          </cell>
          <cell r="D147" t="str">
            <v>Mercaderias recuperadas</v>
          </cell>
          <cell r="E147">
            <v>-926</v>
          </cell>
        </row>
        <row r="148">
          <cell r="B148"/>
          <cell r="C148" t="str">
            <v>1.01.06.02</v>
          </cell>
          <cell r="D148" t="str">
            <v>SERVICIOS</v>
          </cell>
          <cell r="E148">
            <v>527886175</v>
          </cell>
        </row>
        <row r="149">
          <cell r="B149" t="str">
            <v>A</v>
          </cell>
          <cell r="C149" t="str">
            <v>1.01.06.02.001</v>
          </cell>
          <cell r="D149" t="str">
            <v>Servicios de anodizado</v>
          </cell>
          <cell r="E149">
            <v>7887888</v>
          </cell>
        </row>
        <row r="150">
          <cell r="B150" t="str">
            <v>A</v>
          </cell>
          <cell r="C150" t="str">
            <v>1.01.06.02.002</v>
          </cell>
          <cell r="D150" t="str">
            <v>Servicios de decapado</v>
          </cell>
          <cell r="E150">
            <v>80955926</v>
          </cell>
        </row>
        <row r="151">
          <cell r="B151" t="str">
            <v>A</v>
          </cell>
          <cell r="C151" t="str">
            <v>1.01.06.02.003</v>
          </cell>
          <cell r="D151" t="str">
            <v>Servicios de pintura</v>
          </cell>
          <cell r="E151">
            <v>76494797</v>
          </cell>
        </row>
        <row r="152">
          <cell r="B152" t="str">
            <v>A</v>
          </cell>
          <cell r="C152" t="str">
            <v>1.01.06.02.007</v>
          </cell>
          <cell r="D152" t="str">
            <v>Servicios tercerizados - Grandes Obras</v>
          </cell>
          <cell r="E152">
            <v>0</v>
          </cell>
        </row>
        <row r="153">
          <cell r="B153" t="str">
            <v>A</v>
          </cell>
          <cell r="C153" t="str">
            <v>1.01.06.02.005</v>
          </cell>
          <cell r="D153" t="str">
            <v>Servicios de pulido</v>
          </cell>
          <cell r="E153">
            <v>-308192</v>
          </cell>
        </row>
        <row r="154">
          <cell r="B154" t="str">
            <v>A</v>
          </cell>
          <cell r="C154" t="str">
            <v>1.01.06.02.006</v>
          </cell>
          <cell r="D154" t="str">
            <v>Servicios procesados</v>
          </cell>
          <cell r="E154">
            <v>-147</v>
          </cell>
        </row>
        <row r="155">
          <cell r="B155" t="str">
            <v>A</v>
          </cell>
          <cell r="C155" t="str">
            <v xml:space="preserve">1.01.06.02.007 </v>
          </cell>
          <cell r="D155" t="str">
            <v>Servicios Tercerizados - Grandes Obras</v>
          </cell>
          <cell r="E155">
            <v>362855903</v>
          </cell>
        </row>
        <row r="156">
          <cell r="B156"/>
          <cell r="C156" t="str">
            <v>1.01.06.03</v>
          </cell>
          <cell r="D156" t="str">
            <v>OTRAS MERCADERIAS</v>
          </cell>
          <cell r="E156">
            <v>1848306629</v>
          </cell>
        </row>
        <row r="157">
          <cell r="B157" t="str">
            <v>A</v>
          </cell>
          <cell r="C157" t="str">
            <v>1.01.06.03.001</v>
          </cell>
          <cell r="D157" t="str">
            <v>Sobrantes de mercaderias</v>
          </cell>
          <cell r="E157">
            <v>13752904</v>
          </cell>
        </row>
        <row r="158">
          <cell r="B158" t="str">
            <v>A</v>
          </cell>
          <cell r="C158" t="str">
            <v>1.01.06.03.003</v>
          </cell>
          <cell r="D158" t="str">
            <v>Saldos VILUX</v>
          </cell>
          <cell r="E158">
            <v>-102942494</v>
          </cell>
        </row>
        <row r="159">
          <cell r="B159" t="str">
            <v>A</v>
          </cell>
          <cell r="C159" t="str">
            <v>1.01.06.03.004</v>
          </cell>
          <cell r="D159" t="str">
            <v>Retazos vidrios crudos</v>
          </cell>
          <cell r="E159">
            <v>627759433</v>
          </cell>
        </row>
        <row r="160">
          <cell r="B160" t="str">
            <v>A</v>
          </cell>
          <cell r="C160" t="str">
            <v>1.01.06.03.005</v>
          </cell>
          <cell r="D160" t="str">
            <v>Otros bienes de cambio</v>
          </cell>
          <cell r="E160">
            <v>1298939757</v>
          </cell>
        </row>
        <row r="161">
          <cell r="B161" t="str">
            <v>A</v>
          </cell>
          <cell r="C161" t="str">
            <v>1.01.06.03.006</v>
          </cell>
          <cell r="D161" t="str">
            <v>Descabezados</v>
          </cell>
          <cell r="E161">
            <v>10797029</v>
          </cell>
        </row>
        <row r="162">
          <cell r="B162"/>
          <cell r="C162" t="str">
            <v>1.01.06.04</v>
          </cell>
          <cell r="D162" t="str">
            <v>IMPORTACIONES EN CURSO</v>
          </cell>
          <cell r="E162">
            <v>39421058</v>
          </cell>
        </row>
        <row r="163">
          <cell r="B163" t="str">
            <v>A</v>
          </cell>
          <cell r="C163" t="str">
            <v>1.01.06.04.001</v>
          </cell>
          <cell r="D163" t="str">
            <v>Importaciones en curso bienes de cambio</v>
          </cell>
          <cell r="E163">
            <v>39421058</v>
          </cell>
        </row>
        <row r="164">
          <cell r="B164"/>
          <cell r="C164" t="str">
            <v>1.01.06.05</v>
          </cell>
          <cell r="D164" t="str">
            <v>PRODUCTOS EN PROCESO</v>
          </cell>
          <cell r="E164">
            <v>1290398901</v>
          </cell>
        </row>
        <row r="165">
          <cell r="B165" t="str">
            <v>A</v>
          </cell>
          <cell r="C165" t="str">
            <v>1.01.06.05.001</v>
          </cell>
          <cell r="D165" t="str">
            <v>Productos en proceso</v>
          </cell>
          <cell r="E165">
            <v>1290398901</v>
          </cell>
        </row>
        <row r="166">
          <cell r="B166"/>
          <cell r="C166" t="str">
            <v>1.01.06.06</v>
          </cell>
          <cell r="D166" t="str">
            <v>PRODUCTOS TERMINADOS</v>
          </cell>
          <cell r="E166">
            <v>3213499095</v>
          </cell>
        </row>
        <row r="167">
          <cell r="B167" t="str">
            <v>A</v>
          </cell>
          <cell r="C167" t="str">
            <v>1.01.06.06.001</v>
          </cell>
          <cell r="D167" t="str">
            <v>Vidrios procesados</v>
          </cell>
          <cell r="E167">
            <v>3213499095</v>
          </cell>
        </row>
        <row r="168">
          <cell r="B168"/>
          <cell r="C168" t="str">
            <v>1.01.06.98</v>
          </cell>
          <cell r="D168" t="str">
            <v>CUENTAS TRANSITORIAS EXISTENCIAS</v>
          </cell>
          <cell r="E168">
            <v>9905435898</v>
          </cell>
        </row>
        <row r="169">
          <cell r="B169" t="str">
            <v>A</v>
          </cell>
          <cell r="C169" t="str">
            <v>1.01.06.98.002</v>
          </cell>
          <cell r="D169" t="str">
            <v>Transferencias sucursales</v>
          </cell>
          <cell r="E169">
            <v>9511301583</v>
          </cell>
        </row>
        <row r="170">
          <cell r="B170" t="str">
            <v>A</v>
          </cell>
          <cell r="C170" t="str">
            <v>1.01.06.98.003</v>
          </cell>
          <cell r="D170" t="str">
            <v>Mercaderias a ingresar</v>
          </cell>
          <cell r="E170">
            <v>391747396</v>
          </cell>
        </row>
        <row r="171">
          <cell r="B171" t="str">
            <v>A</v>
          </cell>
          <cell r="C171" t="str">
            <v>1.01.06.98.005</v>
          </cell>
          <cell r="D171" t="str">
            <v>Transferecia mercaderias sobrantes</v>
          </cell>
          <cell r="E171">
            <v>2386919</v>
          </cell>
        </row>
        <row r="172">
          <cell r="B172"/>
          <cell r="C172" t="str">
            <v>1.01.06.99</v>
          </cell>
          <cell r="D172" t="str">
            <v>PREVISIONES EXISTENCIAS</v>
          </cell>
          <cell r="E172">
            <v>0</v>
          </cell>
        </row>
        <row r="173">
          <cell r="B173"/>
          <cell r="C173" t="str">
            <v>1.01.09</v>
          </cell>
          <cell r="D173" t="str">
            <v>OTROS ACTIVOS CORRIENTES</v>
          </cell>
          <cell r="E173">
            <v>0</v>
          </cell>
        </row>
        <row r="174">
          <cell r="B174"/>
          <cell r="C174" t="str">
            <v>1.02</v>
          </cell>
          <cell r="D174" t="str">
            <v>ACTIVO NO CORRIENTE</v>
          </cell>
          <cell r="E174">
            <v>141390182507</v>
          </cell>
        </row>
        <row r="175">
          <cell r="B175"/>
          <cell r="C175" t="str">
            <v>1.02.01</v>
          </cell>
          <cell r="D175" t="str">
            <v>CREDITOS A LARGO PLAZO</v>
          </cell>
          <cell r="E175">
            <v>0</v>
          </cell>
        </row>
        <row r="176">
          <cell r="B176"/>
          <cell r="C176" t="str">
            <v>1.02.02</v>
          </cell>
          <cell r="D176" t="str">
            <v>OTROS CREDITOS A LARGO PLAZO</v>
          </cell>
          <cell r="E176">
            <v>0</v>
          </cell>
        </row>
        <row r="177">
          <cell r="B177"/>
          <cell r="C177" t="str">
            <v>1.02.03</v>
          </cell>
          <cell r="D177" t="str">
            <v>PROPIEDADES , PLANTAS Y EQUIPOS</v>
          </cell>
          <cell r="E177">
            <v>137522976998</v>
          </cell>
        </row>
        <row r="178">
          <cell r="B178"/>
          <cell r="C178" t="str">
            <v>1.02.03.01</v>
          </cell>
          <cell r="D178" t="str">
            <v>INMUEBLES Y EDIFICIOS</v>
          </cell>
          <cell r="E178">
            <v>85145888840</v>
          </cell>
        </row>
        <row r="179">
          <cell r="B179" t="str">
            <v>A</v>
          </cell>
          <cell r="C179" t="str">
            <v>1.02.03.01.001</v>
          </cell>
          <cell r="D179" t="str">
            <v>Terrenos</v>
          </cell>
          <cell r="E179">
            <v>12008132440</v>
          </cell>
        </row>
        <row r="180">
          <cell r="B180" t="str">
            <v>A</v>
          </cell>
          <cell r="C180" t="str">
            <v>1.02.03.01.002</v>
          </cell>
          <cell r="D180" t="str">
            <v>Edificios Propios</v>
          </cell>
          <cell r="E180">
            <v>86176965194</v>
          </cell>
        </row>
        <row r="181">
          <cell r="B181" t="str">
            <v>A</v>
          </cell>
          <cell r="C181" t="str">
            <v>1.02.03.01.003</v>
          </cell>
          <cell r="D181" t="str">
            <v>(-) Deprec. Acumuladas-Edificios</v>
          </cell>
          <cell r="E181">
            <v>-13039208794</v>
          </cell>
        </row>
        <row r="182">
          <cell r="B182"/>
          <cell r="C182" t="str">
            <v>1.02.03.02</v>
          </cell>
          <cell r="D182" t="str">
            <v>RODADOS-TRANSPORTE</v>
          </cell>
          <cell r="E182">
            <v>836208611</v>
          </cell>
        </row>
        <row r="183">
          <cell r="B183" t="str">
            <v>A</v>
          </cell>
          <cell r="C183" t="str">
            <v>1.02.03.02.001</v>
          </cell>
          <cell r="D183" t="str">
            <v>Rodados</v>
          </cell>
          <cell r="E183">
            <v>3836997619</v>
          </cell>
        </row>
        <row r="184">
          <cell r="B184" t="str">
            <v>A</v>
          </cell>
          <cell r="C184" t="str">
            <v>1.02.03.02.003</v>
          </cell>
          <cell r="D184" t="str">
            <v>Aeronaves</v>
          </cell>
          <cell r="E184">
            <v>0</v>
          </cell>
        </row>
        <row r="185">
          <cell r="B185" t="str">
            <v>A</v>
          </cell>
          <cell r="C185" t="str">
            <v>1.02.03.02.002</v>
          </cell>
          <cell r="D185" t="str">
            <v>(-) Deprec. Acumuladas-Rodados</v>
          </cell>
          <cell r="E185">
            <v>-3000789008</v>
          </cell>
        </row>
        <row r="186">
          <cell r="B186"/>
          <cell r="C186" t="str">
            <v>1.02.03.03</v>
          </cell>
          <cell r="D186" t="str">
            <v>MAQUINARIAS</v>
          </cell>
          <cell r="E186">
            <v>47117553906</v>
          </cell>
        </row>
        <row r="187">
          <cell r="B187" t="str">
            <v>A</v>
          </cell>
          <cell r="C187" t="str">
            <v>1.02.03.03.001</v>
          </cell>
          <cell r="D187" t="str">
            <v>Maquinarias y Equipos</v>
          </cell>
          <cell r="E187">
            <v>86986037168</v>
          </cell>
        </row>
        <row r="188">
          <cell r="B188" t="str">
            <v>A</v>
          </cell>
          <cell r="C188" t="str">
            <v>1.02.03.03.002</v>
          </cell>
          <cell r="D188" t="str">
            <v>Maquinarias y Equipos</v>
          </cell>
          <cell r="E188">
            <v>-39990053246</v>
          </cell>
        </row>
        <row r="189">
          <cell r="B189" t="str">
            <v>A</v>
          </cell>
          <cell r="C189" t="str">
            <v>1.02.03.03.003</v>
          </cell>
          <cell r="D189" t="str">
            <v>Herramientas y equipos</v>
          </cell>
          <cell r="E189">
            <v>687680720</v>
          </cell>
        </row>
        <row r="190">
          <cell r="B190" t="str">
            <v>A</v>
          </cell>
          <cell r="C190" t="str">
            <v>1.02.03.03.004</v>
          </cell>
          <cell r="D190" t="str">
            <v>(-) Deprec. Acumuladas-Herramientas y equipos</v>
          </cell>
          <cell r="E190">
            <v>-566110736</v>
          </cell>
        </row>
        <row r="191">
          <cell r="B191"/>
          <cell r="C191" t="str">
            <v>1.02.03.04</v>
          </cell>
          <cell r="D191" t="str">
            <v>INSTALACIONES Y REMODELACIONES</v>
          </cell>
          <cell r="E191">
            <v>2721791270</v>
          </cell>
        </row>
        <row r="192">
          <cell r="B192" t="str">
            <v>A</v>
          </cell>
          <cell r="C192" t="str">
            <v>1.02.03.04.001</v>
          </cell>
          <cell r="D192" t="str">
            <v>Instalaciones Varias</v>
          </cell>
          <cell r="E192">
            <v>2820257890</v>
          </cell>
        </row>
        <row r="193">
          <cell r="B193" t="str">
            <v>A</v>
          </cell>
          <cell r="C193" t="str">
            <v>1.02.03.04.002</v>
          </cell>
          <cell r="D193" t="str">
            <v>(-) Deprec. Acumuladas-Instalaciones Varias</v>
          </cell>
          <cell r="E193">
            <v>-747204526</v>
          </cell>
        </row>
        <row r="194">
          <cell r="B194" t="str">
            <v>A</v>
          </cell>
          <cell r="C194" t="str">
            <v>1.02.03.04.003</v>
          </cell>
          <cell r="D194" t="str">
            <v>Mejoras en propiedades de terceros</v>
          </cell>
          <cell r="E194">
            <v>849487106</v>
          </cell>
        </row>
        <row r="195">
          <cell r="B195" t="str">
            <v>A</v>
          </cell>
          <cell r="C195" t="str">
            <v>1.02.03.04.004</v>
          </cell>
          <cell r="D195" t="str">
            <v>(-) Deprec. Acumuladas-Mejoras en propiedades de terceros</v>
          </cell>
          <cell r="E195">
            <v>-200749200</v>
          </cell>
        </row>
        <row r="196">
          <cell r="B196"/>
          <cell r="C196" t="str">
            <v>1.02.03.05</v>
          </cell>
          <cell r="D196" t="str">
            <v>MUEBLES, UTILES Y ENSERES</v>
          </cell>
          <cell r="E196">
            <v>987629262</v>
          </cell>
        </row>
        <row r="197">
          <cell r="B197" t="str">
            <v>A</v>
          </cell>
          <cell r="C197" t="str">
            <v>1.02.03.05.001</v>
          </cell>
          <cell r="D197" t="str">
            <v>Muebles y utiles</v>
          </cell>
          <cell r="E197">
            <v>3052017162</v>
          </cell>
        </row>
        <row r="198">
          <cell r="B198" t="str">
            <v>A</v>
          </cell>
          <cell r="C198" t="str">
            <v>1.02.03.05.002</v>
          </cell>
          <cell r="D198" t="str">
            <v>(-) Deprec. Acumuladas-Muebles y Utiles</v>
          </cell>
          <cell r="E198">
            <v>-2064387900</v>
          </cell>
        </row>
        <row r="199">
          <cell r="B199"/>
          <cell r="C199" t="str">
            <v>1.02.03.06</v>
          </cell>
          <cell r="D199" t="str">
            <v>EQUIPOS DE INFORMATICA</v>
          </cell>
          <cell r="E199">
            <v>620852829</v>
          </cell>
        </row>
        <row r="200">
          <cell r="B200" t="str">
            <v>A</v>
          </cell>
          <cell r="C200" t="str">
            <v>1.02.03.06.001</v>
          </cell>
          <cell r="D200" t="str">
            <v>Equipos de Informatica</v>
          </cell>
          <cell r="E200">
            <v>3297354917</v>
          </cell>
        </row>
        <row r="201">
          <cell r="B201" t="str">
            <v>A</v>
          </cell>
          <cell r="C201" t="str">
            <v>1.02.03.06.002</v>
          </cell>
          <cell r="D201" t="str">
            <v>(-) Deprec. Acumuladas-Equipos de Informatica</v>
          </cell>
          <cell r="E201">
            <v>-2676502088</v>
          </cell>
        </row>
        <row r="202">
          <cell r="B202"/>
          <cell r="C202" t="str">
            <v>1.02.03.07</v>
          </cell>
          <cell r="D202" t="str">
            <v>BIENES EN ARRENDAMIENTO FINANCIERO</v>
          </cell>
          <cell r="E202">
            <v>93052280</v>
          </cell>
        </row>
        <row r="203">
          <cell r="B203" t="str">
            <v>A</v>
          </cell>
          <cell r="C203" t="str">
            <v>1.02.03.07.001</v>
          </cell>
          <cell r="D203" t="str">
            <v>Leasing Equipos Informaticos</v>
          </cell>
          <cell r="E203">
            <v>93052280</v>
          </cell>
        </row>
        <row r="204">
          <cell r="B204"/>
          <cell r="C204" t="str">
            <v>1.02.04</v>
          </cell>
          <cell r="D204" t="str">
            <v>ACTIVOS INTANGIBLES</v>
          </cell>
          <cell r="E204">
            <v>3317532514</v>
          </cell>
        </row>
        <row r="205">
          <cell r="B205"/>
          <cell r="C205" t="str">
            <v>1.02.04.01</v>
          </cell>
          <cell r="D205" t="str">
            <v>GASTOS DE CONSTITUCION</v>
          </cell>
          <cell r="E205">
            <v>0</v>
          </cell>
        </row>
        <row r="206">
          <cell r="B206"/>
          <cell r="C206" t="str">
            <v>1.02.04.02</v>
          </cell>
          <cell r="D206" t="str">
            <v>PATENTES Y MARCAS</v>
          </cell>
          <cell r="E206">
            <v>0</v>
          </cell>
        </row>
        <row r="207">
          <cell r="B207"/>
          <cell r="C207" t="str">
            <v>1.02.04.03</v>
          </cell>
          <cell r="D207" t="str">
            <v>DESARROLLO SOFTWARE</v>
          </cell>
          <cell r="E207">
            <v>3251885031</v>
          </cell>
        </row>
        <row r="208">
          <cell r="B208" t="str">
            <v>A</v>
          </cell>
          <cell r="C208" t="str">
            <v>1.02.04.03.001</v>
          </cell>
          <cell r="D208" t="str">
            <v>Desarrollo Software</v>
          </cell>
          <cell r="E208">
            <v>3251885031</v>
          </cell>
        </row>
        <row r="209">
          <cell r="B209"/>
          <cell r="C209" t="str">
            <v>1.02.04.04</v>
          </cell>
          <cell r="D209" t="str">
            <v>LICENCIAS DE INFORMATICA</v>
          </cell>
          <cell r="E209">
            <v>65647483</v>
          </cell>
        </row>
        <row r="210">
          <cell r="B210" t="str">
            <v>A</v>
          </cell>
          <cell r="C210" t="str">
            <v>1.02.04.04.001</v>
          </cell>
          <cell r="D210" t="str">
            <v>Licencia de Informatica</v>
          </cell>
          <cell r="E210">
            <v>77052354</v>
          </cell>
        </row>
        <row r="211">
          <cell r="B211" t="str">
            <v>A</v>
          </cell>
          <cell r="C211" t="str">
            <v>1.02.04.04.002</v>
          </cell>
          <cell r="D211" t="str">
            <v>Licencia de Informatica</v>
          </cell>
          <cell r="E211">
            <v>-11404871</v>
          </cell>
        </row>
        <row r="212">
          <cell r="B212"/>
          <cell r="C212" t="str">
            <v>1.02.05</v>
          </cell>
          <cell r="D212" t="str">
            <v>OBRAS EN CURSO</v>
          </cell>
          <cell r="E212">
            <v>549672995</v>
          </cell>
        </row>
        <row r="213">
          <cell r="B213"/>
          <cell r="C213" t="str">
            <v>1.02.05.01</v>
          </cell>
          <cell r="D213" t="str">
            <v>Obras en curso edificios</v>
          </cell>
          <cell r="E213">
            <v>0</v>
          </cell>
        </row>
        <row r="214">
          <cell r="B214" t="str">
            <v>A</v>
          </cell>
          <cell r="C214" t="str">
            <v>1.02.05.01.003</v>
          </cell>
          <cell r="D214" t="str">
            <v>Obras en curso Pedro Juan Caballero</v>
          </cell>
          <cell r="E214">
            <v>0</v>
          </cell>
        </row>
        <row r="215">
          <cell r="B215" t="str">
            <v>A</v>
          </cell>
          <cell r="C215" t="str">
            <v>1.02.05.01.004</v>
          </cell>
          <cell r="D215" t="str">
            <v>Remodelaciones</v>
          </cell>
          <cell r="E215">
            <v>0</v>
          </cell>
        </row>
        <row r="216">
          <cell r="B216"/>
          <cell r="C216" t="str">
            <v>1.02.05.02</v>
          </cell>
          <cell r="D216" t="str">
            <v>Obras en curso maquinarias y equipos</v>
          </cell>
          <cell r="E216">
            <v>296404628</v>
          </cell>
        </row>
        <row r="217">
          <cell r="B217" t="str">
            <v>A</v>
          </cell>
          <cell r="C217" t="str">
            <v>1.02.05.01.002</v>
          </cell>
          <cell r="D217" t="str">
            <v>Obras en curso dpto. Corar piso 12</v>
          </cell>
          <cell r="E217">
            <v>0</v>
          </cell>
        </row>
        <row r="218">
          <cell r="B218" t="str">
            <v>A</v>
          </cell>
          <cell r="C218" t="str">
            <v>1.02.05.02.001</v>
          </cell>
          <cell r="D218" t="str">
            <v>Obras en curso maquinarias y equipos</v>
          </cell>
          <cell r="E218">
            <v>296404628</v>
          </cell>
        </row>
        <row r="219">
          <cell r="B219" t="str">
            <v>A</v>
          </cell>
          <cell r="C219" t="str">
            <v>1.02.05.02.002</v>
          </cell>
          <cell r="D219" t="str">
            <v>Maquinarias a instalar</v>
          </cell>
          <cell r="E219">
            <v>0</v>
          </cell>
        </row>
        <row r="220">
          <cell r="B220"/>
          <cell r="C220" t="str">
            <v>1.02.05.03</v>
          </cell>
          <cell r="D220" t="str">
            <v>Obras en curso desarrollo software</v>
          </cell>
          <cell r="E220">
            <v>253268367</v>
          </cell>
        </row>
        <row r="221">
          <cell r="B221" t="str">
            <v>A</v>
          </cell>
          <cell r="C221" t="str">
            <v>1.02.05.03.001</v>
          </cell>
          <cell r="D221" t="str">
            <v>Obras en curso desarrollo software SAP</v>
          </cell>
          <cell r="E221">
            <v>112819291</v>
          </cell>
        </row>
        <row r="222">
          <cell r="B222" t="str">
            <v>A</v>
          </cell>
          <cell r="C222" t="str">
            <v>1.02.05.05.001</v>
          </cell>
          <cell r="D222" t="str">
            <v>Obras en curso Chaco</v>
          </cell>
          <cell r="E222">
            <v>0</v>
          </cell>
        </row>
        <row r="223">
          <cell r="B223" t="str">
            <v>A</v>
          </cell>
          <cell r="C223" t="str">
            <v>1.02.05.05.002</v>
          </cell>
          <cell r="D223" t="str">
            <v>Terrenos chaco en gestion</v>
          </cell>
          <cell r="E223">
            <v>0</v>
          </cell>
        </row>
        <row r="224">
          <cell r="B224" t="str">
            <v>A</v>
          </cell>
          <cell r="C224" t="str">
            <v>1.02.06.01.003</v>
          </cell>
          <cell r="D224" t="str">
            <v>Intereses a Devengar LP</v>
          </cell>
          <cell r="E224">
            <v>0</v>
          </cell>
        </row>
        <row r="225">
          <cell r="B225" t="str">
            <v>A</v>
          </cell>
          <cell r="C225" t="str">
            <v>1.02.05.03.002</v>
          </cell>
          <cell r="D225" t="str">
            <v>Desarrollo software REIGLASS</v>
          </cell>
          <cell r="E225">
            <v>140449076</v>
          </cell>
        </row>
        <row r="226">
          <cell r="B226"/>
          <cell r="C226" t="str">
            <v>1.02.05.04</v>
          </cell>
          <cell r="D226" t="str">
            <v>Obras en curso muebles y utiles</v>
          </cell>
          <cell r="E226">
            <v>0</v>
          </cell>
        </row>
        <row r="227">
          <cell r="B227"/>
          <cell r="C227" t="str">
            <v>1.02.05.05</v>
          </cell>
          <cell r="D227" t="str">
            <v>Obras en curso equipos de informatica</v>
          </cell>
          <cell r="E227">
            <v>0</v>
          </cell>
        </row>
        <row r="228">
          <cell r="B228"/>
          <cell r="C228" t="str">
            <v>1.02.06</v>
          </cell>
          <cell r="D228" t="str">
            <v>CARGOS DIFERIDOS LP</v>
          </cell>
          <cell r="E228">
            <v>0</v>
          </cell>
        </row>
        <row r="229">
          <cell r="B229"/>
          <cell r="C229" t="str">
            <v>1.02.06.01</v>
          </cell>
          <cell r="D229" t="str">
            <v>CARGOS DIFERIDOS LP</v>
          </cell>
          <cell r="E229">
            <v>0</v>
          </cell>
        </row>
        <row r="230">
          <cell r="B230"/>
          <cell r="C230" t="str">
            <v>1.02.07</v>
          </cell>
          <cell r="D230" t="str">
            <v>OTROS BIENES DE USO</v>
          </cell>
          <cell r="E230">
            <v>0</v>
          </cell>
        </row>
        <row r="231">
          <cell r="B231"/>
          <cell r="C231" t="str">
            <v>1.02.08</v>
          </cell>
          <cell r="D231" t="str">
            <v>REMODELACIONES</v>
          </cell>
          <cell r="E231">
            <v>0</v>
          </cell>
        </row>
        <row r="232">
          <cell r="B232"/>
          <cell r="C232" t="str">
            <v>2.01</v>
          </cell>
          <cell r="D232" t="str">
            <v>PASIVO CORRIENTE</v>
          </cell>
          <cell r="E232">
            <v>-59347606363</v>
          </cell>
        </row>
        <row r="233">
          <cell r="B233"/>
          <cell r="C233" t="str">
            <v>2.01.01</v>
          </cell>
          <cell r="D233" t="str">
            <v>CUENTAS A PAGAR</v>
          </cell>
          <cell r="E233">
            <v>-26883409380</v>
          </cell>
        </row>
        <row r="234">
          <cell r="B234"/>
          <cell r="C234" t="str">
            <v>2.01.01.01</v>
          </cell>
          <cell r="D234" t="str">
            <v>PROVEEDORES LOCALES</v>
          </cell>
          <cell r="E234">
            <v>-1929378886</v>
          </cell>
        </row>
        <row r="235">
          <cell r="B235" t="str">
            <v>P</v>
          </cell>
          <cell r="C235" t="str">
            <v>2.01.01.01.001</v>
          </cell>
          <cell r="D235" t="str">
            <v>Proveedores locales</v>
          </cell>
          <cell r="E235">
            <v>-1929378886</v>
          </cell>
        </row>
        <row r="236">
          <cell r="B236"/>
          <cell r="C236" t="str">
            <v>2.01.01.02</v>
          </cell>
          <cell r="D236" t="str">
            <v>PROVEEDORES EXTERIOR</v>
          </cell>
          <cell r="E236">
            <v>-985353434</v>
          </cell>
        </row>
        <row r="237">
          <cell r="B237" t="str">
            <v>P</v>
          </cell>
          <cell r="C237" t="str">
            <v>2.01.01.02.001</v>
          </cell>
          <cell r="D237" t="str">
            <v>Proveedores del Exterior</v>
          </cell>
          <cell r="E237">
            <v>-985353434</v>
          </cell>
        </row>
        <row r="238">
          <cell r="B238"/>
          <cell r="C238" t="str">
            <v>2.01.01.03</v>
          </cell>
          <cell r="D238" t="str">
            <v>ACREEDORES VARIOS</v>
          </cell>
          <cell r="E238">
            <v>-86925366</v>
          </cell>
        </row>
        <row r="239">
          <cell r="B239" t="str">
            <v>P</v>
          </cell>
          <cell r="C239" t="str">
            <v>2.01.01.03.001</v>
          </cell>
          <cell r="D239" t="str">
            <v>Acreedores varios</v>
          </cell>
          <cell r="E239">
            <v>-86925366</v>
          </cell>
        </row>
        <row r="240">
          <cell r="B240"/>
          <cell r="C240" t="str">
            <v>2.01.01.04</v>
          </cell>
          <cell r="D240" t="str">
            <v>FONDO FIJO A REPONER</v>
          </cell>
          <cell r="E240">
            <v>-22814318</v>
          </cell>
        </row>
        <row r="241">
          <cell r="B241" t="str">
            <v>P</v>
          </cell>
          <cell r="C241" t="str">
            <v>2.01.01.04.001</v>
          </cell>
          <cell r="D241" t="str">
            <v>Fondo fijo a reponer Insumos/ Abastecimiento</v>
          </cell>
          <cell r="E241">
            <v>-5371174</v>
          </cell>
        </row>
        <row r="242">
          <cell r="B242" t="str">
            <v>P</v>
          </cell>
          <cell r="C242" t="str">
            <v>2.01.01.04.002</v>
          </cell>
          <cell r="D242" t="str">
            <v>Fondo fijo a reponer planta central y Villeta</v>
          </cell>
          <cell r="E242">
            <v>-300000</v>
          </cell>
        </row>
        <row r="243">
          <cell r="B243" t="str">
            <v>P</v>
          </cell>
          <cell r="C243" t="str">
            <v>2.01.01.04.003</v>
          </cell>
          <cell r="D243" t="str">
            <v>Fondo fijo a reponer Logistica Fdo</v>
          </cell>
          <cell r="E243">
            <v>-4742000</v>
          </cell>
        </row>
        <row r="244">
          <cell r="B244" t="str">
            <v>P</v>
          </cell>
          <cell r="C244" t="str">
            <v>2.01.01.04.004</v>
          </cell>
          <cell r="D244" t="str">
            <v>Fondo fijo a reponer Administracion</v>
          </cell>
          <cell r="E244">
            <v>-2094650</v>
          </cell>
        </row>
        <row r="245">
          <cell r="B245" t="str">
            <v>P</v>
          </cell>
          <cell r="C245" t="str">
            <v>2.01.01.04.005</v>
          </cell>
          <cell r="D245" t="str">
            <v>Fondo fijo a reponer Taller y Obra Fdo</v>
          </cell>
          <cell r="E245">
            <v>-629118</v>
          </cell>
        </row>
        <row r="246">
          <cell r="B246" t="str">
            <v>P</v>
          </cell>
          <cell r="C246" t="str">
            <v>2.01.01.04.006</v>
          </cell>
          <cell r="D246" t="str">
            <v>Fondo fijo a reponer Logistica Minga</v>
          </cell>
          <cell r="E246">
            <v>-2360000</v>
          </cell>
        </row>
        <row r="247">
          <cell r="B247" t="str">
            <v>P</v>
          </cell>
          <cell r="C247" t="str">
            <v>2.01.01.04.007</v>
          </cell>
          <cell r="D247" t="str">
            <v>Fondo fijo a reponer Administracion Minga</v>
          </cell>
          <cell r="E247">
            <v>-1820016</v>
          </cell>
        </row>
        <row r="248">
          <cell r="B248" t="str">
            <v>P</v>
          </cell>
          <cell r="C248" t="str">
            <v>2.01.01.04.008</v>
          </cell>
          <cell r="D248" t="str">
            <v>Fondo fijo a reponer Logistica Enc</v>
          </cell>
          <cell r="E248">
            <v>-2542000</v>
          </cell>
        </row>
        <row r="249">
          <cell r="B249" t="str">
            <v>P</v>
          </cell>
          <cell r="C249" t="str">
            <v>2.01.01.04.009</v>
          </cell>
          <cell r="D249" t="str">
            <v>Fondo fijo a reponer Administracion Enc</v>
          </cell>
          <cell r="E249">
            <v>-1176319</v>
          </cell>
        </row>
        <row r="250">
          <cell r="B250" t="str">
            <v>P</v>
          </cell>
          <cell r="C250" t="str">
            <v>2.01.01.04.010</v>
          </cell>
          <cell r="D250" t="str">
            <v>Fondo fijo a reponer Logistica PJC</v>
          </cell>
          <cell r="E250">
            <v>-1039000</v>
          </cell>
        </row>
        <row r="251">
          <cell r="B251" t="str">
            <v>P</v>
          </cell>
          <cell r="C251" t="str">
            <v>2.01.01.04.011</v>
          </cell>
          <cell r="D251" t="str">
            <v>Fondo fijo a reponer Administracion PJC</v>
          </cell>
          <cell r="E251">
            <v>-740041</v>
          </cell>
        </row>
        <row r="252">
          <cell r="B252"/>
          <cell r="C252" t="str">
            <v>2.01.01.05</v>
          </cell>
          <cell r="D252" t="str">
            <v>PROVISIONES COMERCIALES</v>
          </cell>
          <cell r="E252">
            <v>-821970533</v>
          </cell>
        </row>
        <row r="253">
          <cell r="B253" t="str">
            <v>P</v>
          </cell>
          <cell r="C253" t="str">
            <v>2.01.01.05.001</v>
          </cell>
          <cell r="D253" t="str">
            <v>Provision facturas a recibir</v>
          </cell>
          <cell r="E253">
            <v>-177016318</v>
          </cell>
        </row>
        <row r="254">
          <cell r="B254" t="str">
            <v>P</v>
          </cell>
          <cell r="C254" t="str">
            <v>2.01.01.05.002</v>
          </cell>
          <cell r="D254" t="str">
            <v>Provisiones comerciales GS</v>
          </cell>
          <cell r="E254">
            <v>-314846115</v>
          </cell>
        </row>
        <row r="255">
          <cell r="B255" t="str">
            <v>P</v>
          </cell>
          <cell r="C255" t="str">
            <v>2.01.01.05.003</v>
          </cell>
          <cell r="D255" t="str">
            <v>Provisiones comerciales ME</v>
          </cell>
          <cell r="E255">
            <v>-330108100</v>
          </cell>
        </row>
        <row r="256">
          <cell r="B256"/>
          <cell r="C256" t="str">
            <v>2.01.01.06</v>
          </cell>
          <cell r="D256" t="str">
            <v>CUENTAS A PAGAR INTERCOMPA¥IAS</v>
          </cell>
          <cell r="E256">
            <v>-23036966843</v>
          </cell>
        </row>
        <row r="257">
          <cell r="B257" t="str">
            <v>P</v>
          </cell>
          <cell r="C257" t="str">
            <v>2.01.01.06.001</v>
          </cell>
          <cell r="D257" t="str">
            <v>Alukler S.A.</v>
          </cell>
          <cell r="E257">
            <v>-6619095279</v>
          </cell>
        </row>
        <row r="258">
          <cell r="B258" t="str">
            <v>P</v>
          </cell>
          <cell r="C258" t="str">
            <v>2.01.01.06.003</v>
          </cell>
          <cell r="D258" t="str">
            <v>Transportadora Carlos Costa S.A.</v>
          </cell>
          <cell r="E258">
            <v>-1105206687</v>
          </cell>
        </row>
        <row r="259">
          <cell r="B259" t="str">
            <v>P</v>
          </cell>
          <cell r="C259" t="str">
            <v>2.01.01.06.004</v>
          </cell>
          <cell r="D259" t="str">
            <v>Di Vetro S.A.</v>
          </cell>
          <cell r="E259">
            <v>-3203150</v>
          </cell>
        </row>
        <row r="260">
          <cell r="B260" t="str">
            <v>P</v>
          </cell>
          <cell r="C260" t="str">
            <v>2.01.01.06.005</v>
          </cell>
          <cell r="D260" t="str">
            <v>Glassber S.A.</v>
          </cell>
          <cell r="E260">
            <v>-15309461727</v>
          </cell>
        </row>
        <row r="261">
          <cell r="B261"/>
          <cell r="C261" t="str">
            <v>2.01.01.07</v>
          </cell>
          <cell r="D261" t="str">
            <v>CHEQUES EN CARTERA</v>
          </cell>
          <cell r="E261">
            <v>0</v>
          </cell>
        </row>
        <row r="262">
          <cell r="B262"/>
          <cell r="C262" t="str">
            <v>2.01.02</v>
          </cell>
          <cell r="D262" t="str">
            <v>DEUDAS FINANCIERAS</v>
          </cell>
          <cell r="E262">
            <v>-21380741468</v>
          </cell>
        </row>
        <row r="263">
          <cell r="B263"/>
          <cell r="C263" t="str">
            <v>2.01.02.01</v>
          </cell>
          <cell r="D263" t="str">
            <v>PRESTAMOS BANCARIOS</v>
          </cell>
          <cell r="E263">
            <v>-21380741468</v>
          </cell>
        </row>
        <row r="264">
          <cell r="B264" t="str">
            <v>P</v>
          </cell>
          <cell r="C264" t="str">
            <v>2.01.02.01.001</v>
          </cell>
          <cell r="D264" t="str">
            <v>Prestamos Bancarios Banco Itau Guaranies</v>
          </cell>
          <cell r="E264">
            <v>-21380741468</v>
          </cell>
        </row>
        <row r="265">
          <cell r="B265" t="str">
            <v>P</v>
          </cell>
          <cell r="C265" t="str">
            <v>2.01.02.02.002</v>
          </cell>
          <cell r="D265" t="str">
            <v>Intereses a pagar Banco Itau Guaranies CP</v>
          </cell>
          <cell r="E265">
            <v>0</v>
          </cell>
        </row>
        <row r="266">
          <cell r="B266" t="str">
            <v>P</v>
          </cell>
          <cell r="C266" t="str">
            <v>2.01.02.02.001</v>
          </cell>
          <cell r="D266" t="str">
            <v>Intereses a pagar Banco Itau USD CP</v>
          </cell>
          <cell r="E266">
            <v>0</v>
          </cell>
        </row>
        <row r="267">
          <cell r="B267" t="str">
            <v>P</v>
          </cell>
          <cell r="C267" t="str">
            <v>2.01.01.07.002</v>
          </cell>
          <cell r="D267" t="str">
            <v>Cheques en Cartera Usd.</v>
          </cell>
          <cell r="E267">
            <v>0</v>
          </cell>
        </row>
        <row r="268">
          <cell r="B268"/>
          <cell r="C268" t="str">
            <v>2.01.02.02</v>
          </cell>
          <cell r="D268" t="str">
            <v>INTERESES A PAGAR</v>
          </cell>
          <cell r="E268">
            <v>0</v>
          </cell>
        </row>
        <row r="269">
          <cell r="B269"/>
          <cell r="C269" t="str">
            <v>2.01.02.03</v>
          </cell>
          <cell r="D269" t="str">
            <v>DESCUENTOS DE CHEQUES</v>
          </cell>
          <cell r="E269">
            <v>0</v>
          </cell>
        </row>
        <row r="270">
          <cell r="B270"/>
          <cell r="C270" t="str">
            <v>2.01.03</v>
          </cell>
          <cell r="D270" t="str">
            <v>DEUDAS SOCIALES</v>
          </cell>
          <cell r="E270">
            <v>-1551870372</v>
          </cell>
        </row>
        <row r="271">
          <cell r="B271"/>
          <cell r="C271" t="str">
            <v>2.01.03.01</v>
          </cell>
          <cell r="D271" t="str">
            <v>SUELDOS Y JORNALES A PAGAR</v>
          </cell>
          <cell r="E271">
            <v>-1052087588</v>
          </cell>
        </row>
        <row r="272">
          <cell r="B272" t="str">
            <v>P</v>
          </cell>
          <cell r="C272" t="str">
            <v>2.01.03.01.001</v>
          </cell>
          <cell r="D272" t="str">
            <v>Sueldos a pagar FDO</v>
          </cell>
          <cell r="E272">
            <v>-783064840</v>
          </cell>
        </row>
        <row r="273">
          <cell r="B273" t="str">
            <v>P</v>
          </cell>
          <cell r="C273" t="str">
            <v>2.01.03.01.002</v>
          </cell>
          <cell r="D273" t="str">
            <v>Sueldos a pagar MG</v>
          </cell>
          <cell r="E273">
            <v>-115242997</v>
          </cell>
        </row>
        <row r="274">
          <cell r="B274" t="str">
            <v>P</v>
          </cell>
          <cell r="C274" t="str">
            <v>2.01.03.01.003</v>
          </cell>
          <cell r="D274" t="str">
            <v>Sueldos a pagar ENC</v>
          </cell>
          <cell r="E274">
            <v>-79936777</v>
          </cell>
        </row>
        <row r="275">
          <cell r="B275" t="str">
            <v>P</v>
          </cell>
          <cell r="C275" t="str">
            <v>2.01.03.01.004</v>
          </cell>
          <cell r="D275" t="str">
            <v>Sueldos a pagar PJC</v>
          </cell>
          <cell r="E275">
            <v>-73842974</v>
          </cell>
        </row>
        <row r="276">
          <cell r="B276"/>
          <cell r="C276" t="str">
            <v>2.01.03.02</v>
          </cell>
          <cell r="D276" t="str">
            <v>IPS A PAGAR</v>
          </cell>
          <cell r="E276">
            <v>-376535669</v>
          </cell>
        </row>
        <row r="277">
          <cell r="B277" t="str">
            <v>P</v>
          </cell>
          <cell r="C277" t="str">
            <v>2.01.03.02.001</v>
          </cell>
          <cell r="D277" t="str">
            <v>Ips a pagar FDO</v>
          </cell>
          <cell r="E277">
            <v>-274931152</v>
          </cell>
        </row>
        <row r="278">
          <cell r="B278" t="str">
            <v>P</v>
          </cell>
          <cell r="C278" t="str">
            <v>2.01.03.02.002</v>
          </cell>
          <cell r="D278" t="str">
            <v>Ips a pagar MG</v>
          </cell>
          <cell r="E278">
            <v>-48509395</v>
          </cell>
        </row>
        <row r="279">
          <cell r="B279" t="str">
            <v>P</v>
          </cell>
          <cell r="C279" t="str">
            <v>2.01.03.02.003</v>
          </cell>
          <cell r="D279" t="str">
            <v>Ips a pagar ENC</v>
          </cell>
          <cell r="E279">
            <v>-27422159</v>
          </cell>
        </row>
        <row r="280">
          <cell r="B280" t="str">
            <v>P</v>
          </cell>
          <cell r="C280" t="str">
            <v>2.01.03.02.004</v>
          </cell>
          <cell r="D280" t="str">
            <v>Ips a pagar PJC</v>
          </cell>
          <cell r="E280">
            <v>-25672963</v>
          </cell>
        </row>
        <row r="281">
          <cell r="B281"/>
          <cell r="C281" t="str">
            <v>2.01.03.03</v>
          </cell>
          <cell r="D281" t="str">
            <v>LIQUIDACIONES A PAGAR</v>
          </cell>
          <cell r="E281">
            <v>3338476</v>
          </cell>
        </row>
        <row r="282">
          <cell r="B282" t="str">
            <v>P</v>
          </cell>
          <cell r="C282" t="str">
            <v>2.01.03.03.001</v>
          </cell>
          <cell r="D282" t="str">
            <v>Liquidaciones a pagar FDO</v>
          </cell>
          <cell r="E282">
            <v>1042990</v>
          </cell>
        </row>
        <row r="283">
          <cell r="B283" t="str">
            <v>P</v>
          </cell>
          <cell r="C283" t="str">
            <v>2.01.03.03.002</v>
          </cell>
          <cell r="D283" t="str">
            <v>Liquidaciones a pagar MG</v>
          </cell>
          <cell r="E283">
            <v>3604657</v>
          </cell>
        </row>
        <row r="284">
          <cell r="B284" t="str">
            <v>P</v>
          </cell>
          <cell r="C284" t="str">
            <v>2.01.03.03.003</v>
          </cell>
          <cell r="D284" t="str">
            <v>Liquidaciones a pagar Enc</v>
          </cell>
          <cell r="E284">
            <v>0</v>
          </cell>
        </row>
        <row r="285">
          <cell r="B285" t="str">
            <v>P</v>
          </cell>
          <cell r="C285" t="str">
            <v>2.01.03.03.004</v>
          </cell>
          <cell r="D285" t="str">
            <v>Liquidaciones a pagar PJC</v>
          </cell>
          <cell r="E285">
            <v>-1309171</v>
          </cell>
        </row>
        <row r="286">
          <cell r="B286"/>
          <cell r="C286" t="str">
            <v>2.01.03.04</v>
          </cell>
          <cell r="D286" t="str">
            <v>OTRAS CUENTAS A PAGAR PERSONAL</v>
          </cell>
          <cell r="E286">
            <v>0</v>
          </cell>
        </row>
        <row r="287">
          <cell r="B287" t="str">
            <v>P</v>
          </cell>
          <cell r="C287" t="str">
            <v>2.01.03.04.001</v>
          </cell>
          <cell r="D287" t="str">
            <v>Descuentos judiciales a pagar</v>
          </cell>
          <cell r="E287">
            <v>0</v>
          </cell>
        </row>
        <row r="288">
          <cell r="B288"/>
          <cell r="C288" t="str">
            <v>2.01.03.05</v>
          </cell>
          <cell r="D288" t="str">
            <v>PROVISIONES</v>
          </cell>
          <cell r="E288">
            <v>-80919063</v>
          </cell>
        </row>
        <row r="289">
          <cell r="B289" t="str">
            <v>P</v>
          </cell>
          <cell r="C289" t="str">
            <v>2.01.03.05.001</v>
          </cell>
          <cell r="D289" t="str">
            <v>Provision aguinaldos</v>
          </cell>
          <cell r="E289">
            <v>0</v>
          </cell>
        </row>
        <row r="290">
          <cell r="B290" t="str">
            <v>P</v>
          </cell>
          <cell r="C290" t="str">
            <v>2.01.03.05.005</v>
          </cell>
          <cell r="D290" t="str">
            <v>Otras provisiones</v>
          </cell>
          <cell r="E290">
            <v>-26132008</v>
          </cell>
        </row>
        <row r="291">
          <cell r="B291" t="str">
            <v>P</v>
          </cell>
          <cell r="C291" t="str">
            <v>2.01.03.05.006</v>
          </cell>
          <cell r="D291" t="str">
            <v>Provisiones deposito judicial RRHH</v>
          </cell>
          <cell r="E291">
            <v>-54787055</v>
          </cell>
        </row>
        <row r="292">
          <cell r="B292"/>
          <cell r="C292" t="str">
            <v>2.01.03.06</v>
          </cell>
          <cell r="D292" t="str">
            <v>PREVISIONES</v>
          </cell>
          <cell r="E292">
            <v>-45666528</v>
          </cell>
        </row>
        <row r="293">
          <cell r="B293" t="str">
            <v>P</v>
          </cell>
          <cell r="C293" t="str">
            <v>2.01.03.06.002</v>
          </cell>
          <cell r="D293" t="str">
            <v>Prevision para juicios (laborales)</v>
          </cell>
          <cell r="E293">
            <v>-45666528</v>
          </cell>
        </row>
        <row r="294">
          <cell r="B294"/>
          <cell r="C294" t="str">
            <v>2.01.04</v>
          </cell>
          <cell r="D294" t="str">
            <v>DEUDAS FISCALES</v>
          </cell>
          <cell r="E294">
            <v>-2343476110</v>
          </cell>
        </row>
        <row r="295">
          <cell r="B295"/>
          <cell r="C295" t="str">
            <v>2.01.04.01</v>
          </cell>
          <cell r="D295" t="str">
            <v>IMPUESTOS A PAGAR</v>
          </cell>
          <cell r="E295">
            <v>-2157571031</v>
          </cell>
        </row>
        <row r="296">
          <cell r="B296" t="str">
            <v>P</v>
          </cell>
          <cell r="C296" t="str">
            <v>2.01.04.01.001</v>
          </cell>
          <cell r="D296" t="str">
            <v>DGGC a pagar</v>
          </cell>
          <cell r="E296">
            <v>-2157571031</v>
          </cell>
        </row>
        <row r="297">
          <cell r="B297"/>
          <cell r="C297" t="str">
            <v>2.01.04.02</v>
          </cell>
          <cell r="D297" t="str">
            <v>CARGAS TRIBUTARIAS</v>
          </cell>
          <cell r="E297">
            <v>-185905079</v>
          </cell>
        </row>
        <row r="298">
          <cell r="B298" t="str">
            <v>P</v>
          </cell>
          <cell r="C298" t="str">
            <v>2.01.04.02.001</v>
          </cell>
          <cell r="D298" t="str">
            <v>IVA debito fiscal 10%</v>
          </cell>
          <cell r="E298">
            <v>-2035839</v>
          </cell>
        </row>
        <row r="299">
          <cell r="B299" t="str">
            <v>P</v>
          </cell>
          <cell r="C299" t="str">
            <v>2.01.04.02.003</v>
          </cell>
          <cell r="D299" t="str">
            <v>Retencion IVA a terceros</v>
          </cell>
          <cell r="E299">
            <v>-176551913</v>
          </cell>
        </row>
        <row r="300">
          <cell r="B300" t="str">
            <v>P</v>
          </cell>
          <cell r="C300" t="str">
            <v>2.01.04.02.004</v>
          </cell>
          <cell r="D300" t="str">
            <v>Retencion RENTA a terceros</v>
          </cell>
          <cell r="E300">
            <v>-7317327</v>
          </cell>
        </row>
        <row r="301">
          <cell r="B301"/>
          <cell r="C301" t="str">
            <v>2.01.05</v>
          </cell>
          <cell r="D301" t="str">
            <v>OTROS PASIVOS</v>
          </cell>
          <cell r="E301">
            <v>-343110972</v>
          </cell>
        </row>
        <row r="302">
          <cell r="B302"/>
          <cell r="C302" t="str">
            <v>2.01.05.01</v>
          </cell>
          <cell r="D302" t="str">
            <v>PROVISIONES</v>
          </cell>
          <cell r="E302">
            <v>0</v>
          </cell>
        </row>
        <row r="303">
          <cell r="B303"/>
          <cell r="C303" t="str">
            <v>2.01.05.02</v>
          </cell>
          <cell r="D303" t="str">
            <v>OTRAS DEUDAS A PAGAR</v>
          </cell>
          <cell r="E303">
            <v>-343110972</v>
          </cell>
        </row>
        <row r="304">
          <cell r="B304" t="str">
            <v>P</v>
          </cell>
          <cell r="C304" t="str">
            <v>2.01.05.02.001</v>
          </cell>
          <cell r="D304" t="str">
            <v>Otras deudas a pagar</v>
          </cell>
          <cell r="E304">
            <v>-43413073</v>
          </cell>
        </row>
        <row r="305">
          <cell r="B305" t="str">
            <v>P</v>
          </cell>
          <cell r="C305" t="str">
            <v>2.01.05.02.003</v>
          </cell>
          <cell r="D305" t="str">
            <v>Ventas diferidas</v>
          </cell>
          <cell r="E305">
            <v>-299697899</v>
          </cell>
        </row>
        <row r="306">
          <cell r="B306"/>
          <cell r="C306" t="str">
            <v>2.01.06</v>
          </cell>
          <cell r="D306" t="str">
            <v>INGRESOS DIFERIDOS</v>
          </cell>
          <cell r="E306">
            <v>-6844998061</v>
          </cell>
        </row>
        <row r="307">
          <cell r="B307"/>
          <cell r="C307" t="str">
            <v>2.01.06.01</v>
          </cell>
          <cell r="D307" t="str">
            <v>ANTICIPO DE CLIENTES</v>
          </cell>
          <cell r="E307">
            <v>-6844998061</v>
          </cell>
        </row>
        <row r="308">
          <cell r="B308" t="str">
            <v>P</v>
          </cell>
          <cell r="C308" t="str">
            <v>2.01.06.01.001</v>
          </cell>
          <cell r="D308" t="str">
            <v>Anticipos de clientes locales</v>
          </cell>
          <cell r="E308">
            <v>-2811275190</v>
          </cell>
        </row>
        <row r="309">
          <cell r="B309" t="str">
            <v>P</v>
          </cell>
          <cell r="C309" t="str">
            <v>2.01.06.01.002</v>
          </cell>
          <cell r="D309" t="str">
            <v>Anticipos de clientes migraciones</v>
          </cell>
          <cell r="E309">
            <v>-1890860965</v>
          </cell>
        </row>
        <row r="310">
          <cell r="B310" t="str">
            <v>P</v>
          </cell>
          <cell r="C310" t="str">
            <v>2.01.06.01.003</v>
          </cell>
          <cell r="D310" t="str">
            <v>Anticipos de proyectos en ejecucion</v>
          </cell>
          <cell r="E310">
            <v>-2142861906</v>
          </cell>
        </row>
        <row r="311">
          <cell r="B311"/>
          <cell r="C311" t="str">
            <v>2.02</v>
          </cell>
          <cell r="D311" t="str">
            <v>PASIVO NO CORRIENTE</v>
          </cell>
          <cell r="E311">
            <v>-30085625869</v>
          </cell>
        </row>
        <row r="312">
          <cell r="B312"/>
          <cell r="C312" t="str">
            <v>2.02.01</v>
          </cell>
          <cell r="D312" t="str">
            <v>PREVISIONES</v>
          </cell>
          <cell r="E312">
            <v>-92225869</v>
          </cell>
        </row>
        <row r="313">
          <cell r="B313"/>
          <cell r="C313" t="str">
            <v>2.02.01.01</v>
          </cell>
          <cell r="D313" t="str">
            <v>PREVISIONES LP</v>
          </cell>
          <cell r="E313">
            <v>-92225869</v>
          </cell>
        </row>
        <row r="314">
          <cell r="B314" t="str">
            <v>P</v>
          </cell>
          <cell r="C314" t="str">
            <v>2.02.01.01.001</v>
          </cell>
          <cell r="D314" t="str">
            <v>Prevision para juicios laborales LP</v>
          </cell>
          <cell r="E314">
            <v>-92225869</v>
          </cell>
        </row>
        <row r="315">
          <cell r="B315"/>
          <cell r="C315" t="str">
            <v>2.02.02</v>
          </cell>
          <cell r="D315" t="str">
            <v>PRESTAMOS A LARGO PLAZO</v>
          </cell>
          <cell r="E315">
            <v>-29993400000</v>
          </cell>
        </row>
        <row r="316">
          <cell r="B316"/>
          <cell r="C316" t="str">
            <v>2.02.02.01</v>
          </cell>
          <cell r="D316" t="str">
            <v>PRESTAMOS FINANCIEROS A LARGO PLAZO</v>
          </cell>
          <cell r="E316">
            <v>-29993400000</v>
          </cell>
        </row>
        <row r="317">
          <cell r="B317" t="str">
            <v>P</v>
          </cell>
          <cell r="C317" t="str">
            <v>2.02.02.01.001</v>
          </cell>
          <cell r="D317" t="str">
            <v>Prestamos banco ITAU capital Guaranies LP</v>
          </cell>
          <cell r="E317">
            <v>-29993400000</v>
          </cell>
        </row>
        <row r="318">
          <cell r="B318" t="str">
            <v>P</v>
          </cell>
          <cell r="C318" t="str">
            <v>2.02.02.01.002</v>
          </cell>
          <cell r="D318" t="str">
            <v>Prestamos banco ITAU capital Usd. LP</v>
          </cell>
          <cell r="E318">
            <v>0</v>
          </cell>
        </row>
        <row r="319">
          <cell r="B319" t="str">
            <v>P</v>
          </cell>
          <cell r="C319" t="str">
            <v>2.02.02.02.001</v>
          </cell>
          <cell r="D319" t="str">
            <v>Intereses a pagar banco Itau Guaranies LP</v>
          </cell>
          <cell r="E319">
            <v>0</v>
          </cell>
        </row>
        <row r="320">
          <cell r="B320" t="str">
            <v>P</v>
          </cell>
          <cell r="C320" t="str">
            <v>2.02.02.02.002</v>
          </cell>
          <cell r="D320" t="str">
            <v>Intereses a pagar banco Itau Usd. LP</v>
          </cell>
          <cell r="E320">
            <v>0</v>
          </cell>
        </row>
        <row r="321">
          <cell r="B321" t="str">
            <v>P</v>
          </cell>
          <cell r="C321" t="str">
            <v>2.02.03.01.001</v>
          </cell>
          <cell r="D321" t="str">
            <v>Emision de bonos Guaranies</v>
          </cell>
          <cell r="E321">
            <v>0</v>
          </cell>
        </row>
        <row r="322">
          <cell r="B322" t="str">
            <v>P</v>
          </cell>
          <cell r="C322" t="str">
            <v>2.02.03.01.002</v>
          </cell>
          <cell r="D322" t="str">
            <v>Emision de bonos Dolares</v>
          </cell>
          <cell r="E322">
            <v>0</v>
          </cell>
        </row>
        <row r="323">
          <cell r="B323"/>
          <cell r="C323" t="str">
            <v>2.02.02.02</v>
          </cell>
          <cell r="D323" t="str">
            <v>INTERESES A PAGAR LARGO PLAZO</v>
          </cell>
          <cell r="E323">
            <v>0</v>
          </cell>
        </row>
        <row r="324">
          <cell r="B324"/>
          <cell r="C324" t="str">
            <v>2.02.02.03</v>
          </cell>
          <cell r="D324" t="str">
            <v>INTERESES A VENCER LP</v>
          </cell>
          <cell r="E324">
            <v>0</v>
          </cell>
        </row>
        <row r="325">
          <cell r="B325"/>
          <cell r="C325" t="str">
            <v>3.01</v>
          </cell>
          <cell r="D325" t="str">
            <v>PATRIMONIO NETO</v>
          </cell>
          <cell r="E325">
            <v>-205381851127</v>
          </cell>
        </row>
        <row r="326">
          <cell r="B326"/>
          <cell r="C326" t="str">
            <v>3.01.01</v>
          </cell>
          <cell r="D326" t="str">
            <v>CAPITAL</v>
          </cell>
          <cell r="E326">
            <v>-192173016224</v>
          </cell>
        </row>
        <row r="327">
          <cell r="B327"/>
          <cell r="C327" t="str">
            <v>3.01.01.01</v>
          </cell>
          <cell r="D327" t="str">
            <v>CAPITAL</v>
          </cell>
          <cell r="E327">
            <v>-192173016224</v>
          </cell>
        </row>
        <row r="328">
          <cell r="B328" t="str">
            <v>PN</v>
          </cell>
          <cell r="C328" t="str">
            <v>3.01.01.01.001</v>
          </cell>
          <cell r="D328" t="str">
            <v>Capital Social</v>
          </cell>
          <cell r="E328">
            <v>-200000000000</v>
          </cell>
        </row>
        <row r="329">
          <cell r="B329" t="str">
            <v>PN</v>
          </cell>
          <cell r="C329" t="str">
            <v>3.01.01.01.002</v>
          </cell>
          <cell r="D329" t="str">
            <v>Aporte para aumento de capital</v>
          </cell>
          <cell r="E329">
            <v>7826983776</v>
          </cell>
        </row>
        <row r="330">
          <cell r="B330"/>
          <cell r="C330" t="str">
            <v>3.01.02</v>
          </cell>
          <cell r="D330" t="str">
            <v>RESERVAS</v>
          </cell>
          <cell r="E330">
            <v>-13208834903</v>
          </cell>
        </row>
        <row r="331">
          <cell r="B331"/>
          <cell r="C331" t="str">
            <v>3.01.02.01</v>
          </cell>
          <cell r="D331" t="str">
            <v>RESERVAS</v>
          </cell>
          <cell r="E331">
            <v>-13208834903</v>
          </cell>
        </row>
        <row r="332">
          <cell r="B332" t="str">
            <v>PN</v>
          </cell>
          <cell r="C332" t="str">
            <v>3.01.02.01.001</v>
          </cell>
          <cell r="D332" t="str">
            <v>Reserva Legal</v>
          </cell>
          <cell r="E332">
            <v>-1785193828</v>
          </cell>
        </row>
        <row r="333">
          <cell r="B333" t="str">
            <v>PN</v>
          </cell>
          <cell r="C333" t="str">
            <v>3.01.02.01.002</v>
          </cell>
          <cell r="D333" t="str">
            <v>Reserva Revaluo</v>
          </cell>
          <cell r="E333">
            <v>0</v>
          </cell>
        </row>
        <row r="334">
          <cell r="B334" t="str">
            <v>PN</v>
          </cell>
          <cell r="C334" t="str">
            <v>3.01.02.01.003</v>
          </cell>
          <cell r="D334" t="str">
            <v>Reserva Revaluo Extraordinario</v>
          </cell>
          <cell r="E334">
            <v>-11423641075</v>
          </cell>
        </row>
        <row r="335">
          <cell r="B335"/>
          <cell r="C335" t="str">
            <v>3.01.03</v>
          </cell>
          <cell r="D335" t="str">
            <v>RESULTADOS</v>
          </cell>
          <cell r="E335">
            <v>0</v>
          </cell>
        </row>
        <row r="336">
          <cell r="B336"/>
          <cell r="C336" t="str">
            <v>3.01.03.01</v>
          </cell>
          <cell r="D336" t="str">
            <v>RESULTADOS</v>
          </cell>
          <cell r="E336">
            <v>0</v>
          </cell>
        </row>
        <row r="337">
          <cell r="B337" t="str">
            <v>PN</v>
          </cell>
          <cell r="C337" t="str">
            <v>3.01.03.01.001</v>
          </cell>
          <cell r="D337" t="str">
            <v>Resultados Acumulados</v>
          </cell>
          <cell r="E337">
            <v>0</v>
          </cell>
        </row>
        <row r="338">
          <cell r="B338"/>
          <cell r="C338"/>
          <cell r="D338" t="str">
            <v>Resultado del ejercicio hasta Octubre</v>
          </cell>
          <cell r="E338">
            <v>0</v>
          </cell>
        </row>
        <row r="339">
          <cell r="B339"/>
          <cell r="C339" t="str">
            <v>3.01.03.01.002</v>
          </cell>
          <cell r="D339" t="str">
            <v>Resultado del Ejercicio (Acumulado a Abril)</v>
          </cell>
          <cell r="E339">
            <v>0</v>
          </cell>
        </row>
        <row r="340">
          <cell r="B340"/>
          <cell r="C340" t="str">
            <v>4.01</v>
          </cell>
          <cell r="D340" t="str">
            <v>INGRESOS OPERATIVOS</v>
          </cell>
          <cell r="E340">
            <v>-183291954714</v>
          </cell>
        </row>
        <row r="341">
          <cell r="B341"/>
          <cell r="C341" t="str">
            <v>4.01.01</v>
          </cell>
          <cell r="D341" t="str">
            <v>VENTAS DE MERCADERIAS</v>
          </cell>
          <cell r="E341">
            <v>-93018039634</v>
          </cell>
        </row>
        <row r="342">
          <cell r="B342"/>
          <cell r="C342" t="str">
            <v>4.01.01.01</v>
          </cell>
          <cell r="D342" t="str">
            <v>VENTAS DE VIDRIOS</v>
          </cell>
          <cell r="E342">
            <v>-10424434898</v>
          </cell>
        </row>
        <row r="343">
          <cell r="B343" t="str">
            <v>R+</v>
          </cell>
          <cell r="C343" t="str">
            <v>4.01.01.01.001</v>
          </cell>
          <cell r="D343" t="str">
            <v>Ventas vidrios crudos</v>
          </cell>
          <cell r="E343">
            <v>-10733520796</v>
          </cell>
        </row>
        <row r="344">
          <cell r="B344" t="str">
            <v>R+</v>
          </cell>
          <cell r="C344" t="str">
            <v>4.01.01.01.002</v>
          </cell>
          <cell r="D344" t="str">
            <v>Descuentos vidrios crudos</v>
          </cell>
          <cell r="E344">
            <v>162575384</v>
          </cell>
        </row>
        <row r="345">
          <cell r="B345" t="str">
            <v>R+</v>
          </cell>
          <cell r="C345" t="str">
            <v>4.01.01.01.003</v>
          </cell>
          <cell r="D345" t="str">
            <v>Devolucion de vidrios crudos</v>
          </cell>
          <cell r="E345">
            <v>43476310</v>
          </cell>
        </row>
        <row r="346">
          <cell r="B346" t="str">
            <v>R+</v>
          </cell>
          <cell r="C346" t="str">
            <v>4.01.01.01.004</v>
          </cell>
          <cell r="D346" t="str">
            <v>Diferencia de precios vidrios crudos</v>
          </cell>
          <cell r="E346">
            <v>103034204</v>
          </cell>
        </row>
        <row r="347">
          <cell r="B347"/>
          <cell r="C347" t="str">
            <v>4.01.01.02</v>
          </cell>
          <cell r="D347" t="str">
            <v>VENTAS DE PERFILES</v>
          </cell>
          <cell r="E347">
            <v>-20417591609</v>
          </cell>
        </row>
        <row r="348">
          <cell r="B348" t="str">
            <v>R+</v>
          </cell>
          <cell r="C348" t="str">
            <v>4.01.01.02.001</v>
          </cell>
          <cell r="D348" t="str">
            <v>Ventas perfiles</v>
          </cell>
          <cell r="E348">
            <v>-21128599361</v>
          </cell>
        </row>
        <row r="349">
          <cell r="B349" t="str">
            <v>R+</v>
          </cell>
          <cell r="C349" t="str">
            <v>4.01.01.02.002</v>
          </cell>
          <cell r="D349" t="str">
            <v>Devolucion de perfiles</v>
          </cell>
          <cell r="E349">
            <v>61813391</v>
          </cell>
        </row>
        <row r="350">
          <cell r="B350" t="str">
            <v>R+</v>
          </cell>
          <cell r="C350" t="str">
            <v>4.01.01.02.004</v>
          </cell>
          <cell r="D350" t="str">
            <v>Descuentos de perfiles</v>
          </cell>
          <cell r="E350">
            <v>649194361</v>
          </cell>
        </row>
        <row r="351">
          <cell r="B351"/>
          <cell r="C351" t="str">
            <v>4.01.01.03</v>
          </cell>
          <cell r="D351" t="str">
            <v>VENTAS DE HERRAJES</v>
          </cell>
          <cell r="E351">
            <v>-10004336022</v>
          </cell>
        </row>
        <row r="352">
          <cell r="B352" t="str">
            <v>R+</v>
          </cell>
          <cell r="C352" t="str">
            <v>4.01.01.03.001</v>
          </cell>
          <cell r="D352" t="str">
            <v>Ventas herrajes</v>
          </cell>
          <cell r="E352">
            <v>-10594388531</v>
          </cell>
        </row>
        <row r="353">
          <cell r="B353" t="str">
            <v>R+</v>
          </cell>
          <cell r="C353" t="str">
            <v>4.01.01.03.002</v>
          </cell>
          <cell r="D353" t="str">
            <v>Descuentos de herrajes</v>
          </cell>
          <cell r="E353">
            <v>515336173</v>
          </cell>
        </row>
        <row r="354">
          <cell r="B354" t="str">
            <v>R+</v>
          </cell>
          <cell r="C354" t="str">
            <v>4.01.01.03.003</v>
          </cell>
          <cell r="D354" t="str">
            <v>Devolucion de herrajes</v>
          </cell>
          <cell r="E354">
            <v>74716336</v>
          </cell>
        </row>
        <row r="355">
          <cell r="B355"/>
          <cell r="C355" t="str">
            <v>4.01.01.04</v>
          </cell>
          <cell r="D355" t="str">
            <v>VENTAS DE CONSTRUCCION EN SECO</v>
          </cell>
          <cell r="E355">
            <v>-18079439464</v>
          </cell>
        </row>
        <row r="356">
          <cell r="B356" t="str">
            <v>R+</v>
          </cell>
          <cell r="C356" t="str">
            <v>4.01.01.04.001</v>
          </cell>
          <cell r="D356" t="str">
            <v>Ventas construccion en seco</v>
          </cell>
          <cell r="E356">
            <v>-20620075724</v>
          </cell>
        </row>
        <row r="357">
          <cell r="B357" t="str">
            <v>R+</v>
          </cell>
          <cell r="C357" t="str">
            <v>4.01.01.04.002</v>
          </cell>
          <cell r="D357" t="str">
            <v>Descuentos de construccion en seco</v>
          </cell>
          <cell r="E357">
            <v>2399423560</v>
          </cell>
        </row>
        <row r="358">
          <cell r="B358" t="str">
            <v>R+</v>
          </cell>
          <cell r="C358" t="str">
            <v>4.01.01.04.003</v>
          </cell>
          <cell r="D358" t="str">
            <v>Devolucion construccion en seco</v>
          </cell>
          <cell r="E358">
            <v>141212700</v>
          </cell>
        </row>
        <row r="359">
          <cell r="B359"/>
          <cell r="C359" t="str">
            <v>4.01.01.05</v>
          </cell>
          <cell r="D359" t="str">
            <v>VENTAS DE CARPINTERIA DE ALUMINIO</v>
          </cell>
          <cell r="E359">
            <v>-27820913675</v>
          </cell>
        </row>
        <row r="360">
          <cell r="B360" t="str">
            <v>R+</v>
          </cell>
          <cell r="C360" t="str">
            <v>4.01.01.05.001</v>
          </cell>
          <cell r="D360" t="str">
            <v>Ventas carpinteria de aluminio</v>
          </cell>
          <cell r="E360">
            <v>-28278021231</v>
          </cell>
        </row>
        <row r="361">
          <cell r="B361" t="str">
            <v>R+</v>
          </cell>
          <cell r="C361" t="str">
            <v>4.01.01.05.002</v>
          </cell>
          <cell r="D361" t="str">
            <v>Descuentos de carpinteria de aluminio</v>
          </cell>
          <cell r="E361">
            <v>318002441</v>
          </cell>
        </row>
        <row r="362">
          <cell r="B362" t="str">
            <v>R+</v>
          </cell>
          <cell r="C362" t="str">
            <v>4.01.01.05.003</v>
          </cell>
          <cell r="D362" t="str">
            <v>Devolucion carpinteria de aluminio</v>
          </cell>
          <cell r="E362">
            <v>139105115</v>
          </cell>
        </row>
        <row r="363">
          <cell r="B363"/>
          <cell r="C363" t="str">
            <v>4.01.01.06</v>
          </cell>
          <cell r="D363" t="str">
            <v>VENTAS DE SILICONAS</v>
          </cell>
          <cell r="E363">
            <v>-1006698306</v>
          </cell>
        </row>
        <row r="364">
          <cell r="B364" t="str">
            <v>R+</v>
          </cell>
          <cell r="C364" t="str">
            <v>4.01.01.06.001</v>
          </cell>
          <cell r="D364" t="str">
            <v>Ventas siliconas</v>
          </cell>
          <cell r="E364">
            <v>-1058862635</v>
          </cell>
        </row>
        <row r="365">
          <cell r="B365" t="str">
            <v>R+</v>
          </cell>
          <cell r="C365" t="str">
            <v>4.01.01.06.002</v>
          </cell>
          <cell r="D365" t="str">
            <v>Descuentos de siliconas</v>
          </cell>
          <cell r="E365">
            <v>45646795</v>
          </cell>
        </row>
        <row r="366">
          <cell r="B366" t="str">
            <v>R+</v>
          </cell>
          <cell r="C366" t="str">
            <v>4.01.01.06.003</v>
          </cell>
          <cell r="D366" t="str">
            <v>Devolucion siliconas</v>
          </cell>
          <cell r="E366">
            <v>6517534</v>
          </cell>
        </row>
        <row r="367">
          <cell r="B367"/>
          <cell r="C367" t="str">
            <v>4.01.01.07</v>
          </cell>
          <cell r="D367" t="str">
            <v>VENTAS DE INSUMOS</v>
          </cell>
          <cell r="E367">
            <v>35892246</v>
          </cell>
        </row>
        <row r="368">
          <cell r="B368" t="str">
            <v>R+</v>
          </cell>
          <cell r="C368" t="str">
            <v>4.01.01.07.001</v>
          </cell>
          <cell r="D368" t="str">
            <v>Ventas insumos</v>
          </cell>
          <cell r="E368">
            <v>30856452</v>
          </cell>
        </row>
        <row r="369">
          <cell r="B369" t="str">
            <v>R+</v>
          </cell>
          <cell r="C369" t="str">
            <v>4.01.01.07.003</v>
          </cell>
          <cell r="D369" t="str">
            <v>Descuentos de insumos</v>
          </cell>
          <cell r="E369">
            <v>5035794</v>
          </cell>
        </row>
        <row r="370">
          <cell r="B370"/>
          <cell r="C370" t="str">
            <v>4.01.01.08</v>
          </cell>
          <cell r="D370" t="str">
            <v>VENTAS DE DIVISORIAS</v>
          </cell>
          <cell r="E370">
            <v>-139676286</v>
          </cell>
        </row>
        <row r="371">
          <cell r="B371" t="str">
            <v>R+</v>
          </cell>
          <cell r="C371" t="str">
            <v>4.01.01.08.001</v>
          </cell>
          <cell r="D371" t="str">
            <v>Ventas divisorias</v>
          </cell>
          <cell r="E371">
            <v>-146828398</v>
          </cell>
        </row>
        <row r="372">
          <cell r="B372" t="str">
            <v>R+</v>
          </cell>
          <cell r="C372" t="str">
            <v>4.01.01.08.002</v>
          </cell>
          <cell r="D372" t="str">
            <v>Devolucion divisorias</v>
          </cell>
          <cell r="E372">
            <v>97729</v>
          </cell>
        </row>
        <row r="373">
          <cell r="B373" t="str">
            <v>R+</v>
          </cell>
          <cell r="C373" t="str">
            <v>4.01.01.08.004</v>
          </cell>
          <cell r="D373" t="str">
            <v>Descuentos divisorias</v>
          </cell>
          <cell r="E373">
            <v>7054383</v>
          </cell>
        </row>
        <row r="374">
          <cell r="B374"/>
          <cell r="C374" t="str">
            <v>4.01.01.09</v>
          </cell>
          <cell r="D374" t="str">
            <v>OTRAS VENTAS DE MERCADERIAS</v>
          </cell>
          <cell r="E374">
            <v>-5160841620</v>
          </cell>
        </row>
        <row r="375">
          <cell r="B375" t="str">
            <v>R+</v>
          </cell>
          <cell r="C375" t="str">
            <v>4.01.01.09.001</v>
          </cell>
          <cell r="D375" t="str">
            <v>Ventas de productos no conformes</v>
          </cell>
          <cell r="E375">
            <v>-41201581</v>
          </cell>
        </row>
        <row r="376">
          <cell r="B376" t="str">
            <v>R+</v>
          </cell>
          <cell r="C376" t="str">
            <v>4.01.01.09.002</v>
          </cell>
          <cell r="D376" t="str">
            <v>Ventas de equipos para la venta</v>
          </cell>
          <cell r="E376">
            <v>-403396052</v>
          </cell>
        </row>
        <row r="377">
          <cell r="B377" t="str">
            <v>R+</v>
          </cell>
          <cell r="C377" t="str">
            <v>4.01.01.09.003</v>
          </cell>
          <cell r="D377" t="str">
            <v>Ventas Marketing</v>
          </cell>
          <cell r="E377">
            <v>-20176058</v>
          </cell>
        </row>
        <row r="378">
          <cell r="B378" t="str">
            <v>R+</v>
          </cell>
          <cell r="C378" t="str">
            <v>4.01.01.09.004</v>
          </cell>
          <cell r="D378" t="str">
            <v>Ventas de retazos</v>
          </cell>
          <cell r="E378">
            <v>-111202081</v>
          </cell>
        </row>
        <row r="379">
          <cell r="B379" t="str">
            <v>R+</v>
          </cell>
          <cell r="C379" t="str">
            <v>4.01.01.09.005</v>
          </cell>
          <cell r="D379" t="str">
            <v>Ventas de descabezados</v>
          </cell>
          <cell r="E379">
            <v>-87424219</v>
          </cell>
        </row>
        <row r="380">
          <cell r="B380" t="str">
            <v>R+</v>
          </cell>
          <cell r="C380" t="str">
            <v>4.01.01.09.006</v>
          </cell>
          <cell r="D380" t="str">
            <v>Ventas de mercaderias importadas</v>
          </cell>
          <cell r="E380">
            <v>-3906075200</v>
          </cell>
        </row>
        <row r="381">
          <cell r="B381" t="str">
            <v>R+</v>
          </cell>
          <cell r="C381" t="str">
            <v>4.01.01.09.007</v>
          </cell>
          <cell r="D381" t="str">
            <v>Ventas de mercaderias locales</v>
          </cell>
          <cell r="E381">
            <v>-591366429</v>
          </cell>
        </row>
        <row r="382">
          <cell r="B382"/>
          <cell r="C382" t="str">
            <v>4.01.02</v>
          </cell>
          <cell r="D382" t="str">
            <v>VENTAS DE PRODUCTOS PROCESADOS</v>
          </cell>
          <cell r="E382">
            <v>-85687981158</v>
          </cell>
        </row>
        <row r="383">
          <cell r="B383"/>
          <cell r="C383" t="str">
            <v>4.01.02.01</v>
          </cell>
          <cell r="D383" t="str">
            <v>VENTAS DE PROCESADOS</v>
          </cell>
          <cell r="E383">
            <v>-85687981158</v>
          </cell>
        </row>
        <row r="384">
          <cell r="B384" t="str">
            <v>R+</v>
          </cell>
          <cell r="C384" t="str">
            <v>4.01.02.01.001</v>
          </cell>
          <cell r="D384" t="str">
            <v>Ventas procesados</v>
          </cell>
          <cell r="E384">
            <v>-84041086713</v>
          </cell>
        </row>
        <row r="385">
          <cell r="B385" t="str">
            <v>R+</v>
          </cell>
          <cell r="C385" t="str">
            <v>4.01.02.01.002</v>
          </cell>
          <cell r="D385" t="str">
            <v>Devolucion de procesados</v>
          </cell>
          <cell r="E385">
            <v>442829564</v>
          </cell>
        </row>
        <row r="386">
          <cell r="B386" t="str">
            <v>R+</v>
          </cell>
          <cell r="C386" t="str">
            <v>4.01.02.01.003</v>
          </cell>
          <cell r="D386" t="str">
            <v>Descuentos de productos procesados</v>
          </cell>
          <cell r="E386">
            <v>1310130231</v>
          </cell>
        </row>
        <row r="387">
          <cell r="B387" t="str">
            <v>R+</v>
          </cell>
          <cell r="C387" t="str">
            <v>4.01.02.01.005</v>
          </cell>
          <cell r="D387" t="str">
            <v>Ventas de productos estandar</v>
          </cell>
          <cell r="E387">
            <v>-3399854240</v>
          </cell>
        </row>
        <row r="388">
          <cell r="B388"/>
          <cell r="C388" t="str">
            <v>4.01.03</v>
          </cell>
          <cell r="D388" t="str">
            <v>VENTAS DE OBRAS</v>
          </cell>
          <cell r="E388">
            <v>-2661463986</v>
          </cell>
        </row>
        <row r="389">
          <cell r="B389"/>
          <cell r="C389" t="str">
            <v>4.01.03.01</v>
          </cell>
          <cell r="D389" t="str">
            <v>VENTAS OBRAS</v>
          </cell>
          <cell r="E389">
            <v>-2661463986</v>
          </cell>
        </row>
        <row r="390">
          <cell r="B390" t="str">
            <v>R+</v>
          </cell>
          <cell r="C390" t="str">
            <v>4.01.03.01.001</v>
          </cell>
          <cell r="D390" t="str">
            <v>Ventas obras</v>
          </cell>
          <cell r="E390">
            <v>-2730985511</v>
          </cell>
        </row>
        <row r="391">
          <cell r="B391" t="str">
            <v>R+</v>
          </cell>
          <cell r="C391" t="str">
            <v>4.01.03.01.002</v>
          </cell>
          <cell r="D391" t="str">
            <v>Devolucion obras</v>
          </cell>
          <cell r="E391">
            <v>61490621</v>
          </cell>
        </row>
        <row r="392">
          <cell r="B392" t="str">
            <v>R+</v>
          </cell>
          <cell r="C392" t="str">
            <v>4.01.03.01.004</v>
          </cell>
          <cell r="D392" t="str">
            <v>Descuentos obras</v>
          </cell>
          <cell r="E392">
            <v>8030904</v>
          </cell>
        </row>
        <row r="393">
          <cell r="B393"/>
          <cell r="C393" t="str">
            <v>4.01.04</v>
          </cell>
          <cell r="D393" t="str">
            <v>VENTAS DE SERVICIOS</v>
          </cell>
          <cell r="E393">
            <v>-1924469936</v>
          </cell>
        </row>
        <row r="394">
          <cell r="B394"/>
          <cell r="C394" t="str">
            <v>4.01.04.01</v>
          </cell>
          <cell r="D394" t="str">
            <v>VENTAS DE SERVICIOS</v>
          </cell>
          <cell r="E394">
            <v>-1924469936</v>
          </cell>
        </row>
        <row r="395">
          <cell r="B395" t="str">
            <v>R+</v>
          </cell>
          <cell r="C395" t="str">
            <v>4.01.04.01.001</v>
          </cell>
          <cell r="D395" t="str">
            <v>Ventas servicios</v>
          </cell>
          <cell r="E395">
            <v>-2130163881</v>
          </cell>
        </row>
        <row r="396">
          <cell r="B396" t="str">
            <v>R+</v>
          </cell>
          <cell r="C396" t="str">
            <v>4.01.04.01.002</v>
          </cell>
          <cell r="D396" t="str">
            <v>Devolucion ventas servicios</v>
          </cell>
          <cell r="E396">
            <v>77069516</v>
          </cell>
        </row>
        <row r="397">
          <cell r="B397" t="str">
            <v>R+</v>
          </cell>
          <cell r="C397" t="str">
            <v>4.01.04.01.004</v>
          </cell>
          <cell r="D397" t="str">
            <v>Descuentos ventas servicios</v>
          </cell>
          <cell r="E397">
            <v>128624429</v>
          </cell>
        </row>
        <row r="398">
          <cell r="B398" t="str">
            <v>R+</v>
          </cell>
          <cell r="C398" t="str">
            <v>4.01.04.01.005</v>
          </cell>
          <cell r="D398" t="str">
            <v>Ventas servicios aereos</v>
          </cell>
          <cell r="E398">
            <v>0</v>
          </cell>
        </row>
        <row r="399">
          <cell r="B399"/>
          <cell r="C399" t="str">
            <v>4.01.05</v>
          </cell>
          <cell r="D399" t="str">
            <v>VENTAS EXPORTACION</v>
          </cell>
          <cell r="E399">
            <v>0</v>
          </cell>
        </row>
        <row r="400">
          <cell r="B400"/>
          <cell r="C400" t="str">
            <v>4.01.04.01</v>
          </cell>
          <cell r="D400" t="str">
            <v>VENTAS EXPORTACION</v>
          </cell>
          <cell r="E400">
            <v>0</v>
          </cell>
        </row>
        <row r="401">
          <cell r="B401" t="str">
            <v>R+</v>
          </cell>
          <cell r="C401" t="str">
            <v>4.01.05.01.001</v>
          </cell>
          <cell r="D401" t="str">
            <v>Venta procesados export</v>
          </cell>
          <cell r="E401">
            <v>0</v>
          </cell>
        </row>
        <row r="402">
          <cell r="B402" t="str">
            <v>R+</v>
          </cell>
          <cell r="C402" t="str">
            <v>4.01.05.01.005</v>
          </cell>
          <cell r="D402" t="str">
            <v>Flete exportacion</v>
          </cell>
          <cell r="E402">
            <v>0</v>
          </cell>
        </row>
        <row r="403">
          <cell r="B403" t="str">
            <v>R+</v>
          </cell>
          <cell r="C403" t="str">
            <v>4.01.05.01.006</v>
          </cell>
          <cell r="D403" t="str">
            <v>Seguro exportacion</v>
          </cell>
          <cell r="E403">
            <v>0</v>
          </cell>
        </row>
        <row r="404">
          <cell r="B404"/>
          <cell r="C404" t="str">
            <v>5.01</v>
          </cell>
          <cell r="D404" t="str">
            <v>COSTOS DE VENTAS</v>
          </cell>
          <cell r="E404">
            <v>259855420117</v>
          </cell>
        </row>
        <row r="405">
          <cell r="B405"/>
          <cell r="C405" t="str">
            <v>5.01.01</v>
          </cell>
          <cell r="D405" t="str">
            <v>COSTOS DE VENTA</v>
          </cell>
          <cell r="E405">
            <v>259855420117</v>
          </cell>
        </row>
        <row r="406">
          <cell r="B406"/>
          <cell r="C406" t="str">
            <v>5.01.01.01</v>
          </cell>
          <cell r="D406" t="str">
            <v>COSTO DE VIDRIOS</v>
          </cell>
          <cell r="E406">
            <v>183212099188</v>
          </cell>
        </row>
        <row r="407">
          <cell r="B407" t="str">
            <v>R-</v>
          </cell>
          <cell r="C407" t="str">
            <v>5.01.01.01.001</v>
          </cell>
          <cell r="D407" t="str">
            <v>Costo vidrios crudos</v>
          </cell>
          <cell r="E407">
            <v>183212099188</v>
          </cell>
        </row>
        <row r="408">
          <cell r="B408"/>
          <cell r="C408" t="str">
            <v>5.01.01.02</v>
          </cell>
          <cell r="D408" t="str">
            <v>COSTOS DE PERFILES</v>
          </cell>
          <cell r="E408">
            <v>21956551649</v>
          </cell>
        </row>
        <row r="409">
          <cell r="B409" t="str">
            <v>R-</v>
          </cell>
          <cell r="C409" t="str">
            <v>5.01.01.02.001</v>
          </cell>
          <cell r="D409" t="str">
            <v>Costo perfiles</v>
          </cell>
          <cell r="E409">
            <v>21956551649</v>
          </cell>
        </row>
        <row r="410">
          <cell r="B410"/>
          <cell r="C410" t="str">
            <v>5.01.01.03</v>
          </cell>
          <cell r="D410" t="str">
            <v>COSTO DE HERRAJES</v>
          </cell>
          <cell r="E410">
            <v>13689301846</v>
          </cell>
        </row>
        <row r="411">
          <cell r="B411" t="str">
            <v>R-</v>
          </cell>
          <cell r="C411" t="str">
            <v>5.01.01.03.001</v>
          </cell>
          <cell r="D411" t="str">
            <v>Costo de ventas herrajes</v>
          </cell>
          <cell r="E411">
            <v>13689301846</v>
          </cell>
        </row>
        <row r="412">
          <cell r="B412"/>
          <cell r="C412" t="str">
            <v>5.01.01.04</v>
          </cell>
          <cell r="D412" t="str">
            <v>COSTO DE CONSTRUCCION EN SECO</v>
          </cell>
          <cell r="E412">
            <v>12698717287</v>
          </cell>
        </row>
        <row r="413">
          <cell r="B413" t="str">
            <v>R-</v>
          </cell>
          <cell r="C413" t="str">
            <v>5.01.01.04.001</v>
          </cell>
          <cell r="D413" t="str">
            <v>Costo de ventas construccion en seco</v>
          </cell>
          <cell r="E413">
            <v>12698717287</v>
          </cell>
        </row>
        <row r="414">
          <cell r="B414" t="str">
            <v>R-</v>
          </cell>
          <cell r="C414" t="str">
            <v>5.01.01.04.002</v>
          </cell>
          <cell r="D414" t="str">
            <v>Otros costos construccion en seco</v>
          </cell>
          <cell r="E414">
            <v>0</v>
          </cell>
        </row>
        <row r="415">
          <cell r="B415"/>
          <cell r="C415" t="str">
            <v>5.01.01.05</v>
          </cell>
          <cell r="D415" t="str">
            <v>COSTO DE CARPINTERIA DE ALUMINIO</v>
          </cell>
          <cell r="E415">
            <v>15309173073</v>
          </cell>
        </row>
        <row r="416">
          <cell r="B416" t="str">
            <v>R-</v>
          </cell>
          <cell r="C416" t="str">
            <v>5.01.01.05.001</v>
          </cell>
          <cell r="D416" t="str">
            <v>Costo de ventas carpinteria de aluminio</v>
          </cell>
          <cell r="E416">
            <v>15309173073</v>
          </cell>
        </row>
        <row r="417">
          <cell r="B417"/>
          <cell r="C417" t="str">
            <v>5.01.01.06</v>
          </cell>
          <cell r="D417" t="str">
            <v>COSTO DE SILICONA</v>
          </cell>
          <cell r="E417">
            <v>1874295814</v>
          </cell>
        </row>
        <row r="418">
          <cell r="B418" t="str">
            <v>R-</v>
          </cell>
          <cell r="C418" t="str">
            <v>5.01.01.06.001</v>
          </cell>
          <cell r="D418" t="str">
            <v>Costo de ventas silicona</v>
          </cell>
          <cell r="E418">
            <v>1874295814</v>
          </cell>
        </row>
        <row r="419">
          <cell r="B419"/>
          <cell r="C419" t="str">
            <v>5.01.01.07</v>
          </cell>
          <cell r="D419" t="str">
            <v>COSTO DE VENTA DE INSUMOS</v>
          </cell>
          <cell r="E419">
            <v>10667183032</v>
          </cell>
        </row>
        <row r="420">
          <cell r="B420" t="str">
            <v>R-</v>
          </cell>
          <cell r="C420" t="str">
            <v>5.01.01.07.001</v>
          </cell>
          <cell r="D420" t="str">
            <v>Costo de venta insumos</v>
          </cell>
          <cell r="E420">
            <v>10588454013</v>
          </cell>
        </row>
        <row r="421">
          <cell r="B421" t="str">
            <v>R-</v>
          </cell>
          <cell r="C421" t="str">
            <v>5.01.01.07.002</v>
          </cell>
          <cell r="D421" t="str">
            <v>Otros costos insumos</v>
          </cell>
          <cell r="E421">
            <v>78729019</v>
          </cell>
        </row>
        <row r="422">
          <cell r="B422"/>
          <cell r="C422" t="str">
            <v>5.01.01.08</v>
          </cell>
          <cell r="D422" t="str">
            <v>COSTOS DIVISORIAS</v>
          </cell>
          <cell r="E422">
            <v>448098228</v>
          </cell>
        </row>
        <row r="423">
          <cell r="B423" t="str">
            <v>R-</v>
          </cell>
          <cell r="C423" t="str">
            <v>5.01.01.08.001</v>
          </cell>
          <cell r="D423" t="str">
            <v>Costos divisorias</v>
          </cell>
          <cell r="E423">
            <v>448098228</v>
          </cell>
        </row>
        <row r="424">
          <cell r="B424"/>
          <cell r="C424" t="str">
            <v>5.01.02</v>
          </cell>
          <cell r="D424" t="str">
            <v>COSTOS DE PRODUCTOS PROCESADOS</v>
          </cell>
          <cell r="E424">
            <v>-102088045137</v>
          </cell>
        </row>
        <row r="425">
          <cell r="B425"/>
          <cell r="C425" t="str">
            <v>5.01.02.01</v>
          </cell>
          <cell r="D425" t="str">
            <v>COSTOS DE PRODUCTOS PROCESADOS</v>
          </cell>
          <cell r="E425">
            <v>-102088045137</v>
          </cell>
        </row>
        <row r="426">
          <cell r="B426" t="str">
            <v>R-</v>
          </cell>
          <cell r="C426" t="str">
            <v>5.01.02.01.001</v>
          </cell>
          <cell r="D426" t="str">
            <v>Costos procesados</v>
          </cell>
          <cell r="E426">
            <v>-103483789193</v>
          </cell>
        </row>
        <row r="427">
          <cell r="B427" t="str">
            <v>R-</v>
          </cell>
          <cell r="C427" t="str">
            <v>5.01.02.01.002</v>
          </cell>
          <cell r="D427" t="str">
            <v>Costos de productos estandar</v>
          </cell>
          <cell r="E427">
            <v>1395744056</v>
          </cell>
        </row>
        <row r="428">
          <cell r="B428" t="str">
            <v>R-</v>
          </cell>
          <cell r="C428" t="str">
            <v>5.01.02.02.001</v>
          </cell>
          <cell r="D428" t="str">
            <v>Costo procesados exportacion</v>
          </cell>
          <cell r="E428">
            <v>0</v>
          </cell>
        </row>
        <row r="429">
          <cell r="B429" t="str">
            <v>R-</v>
          </cell>
          <cell r="C429" t="str">
            <v>5.01.02.02.002</v>
          </cell>
          <cell r="D429" t="str">
            <v>Costos gastos exportacion</v>
          </cell>
          <cell r="E429">
            <v>0</v>
          </cell>
        </row>
        <row r="430">
          <cell r="B430"/>
          <cell r="C430" t="str">
            <v>5.01.03</v>
          </cell>
          <cell r="D430" t="str">
            <v>OTROS COSTOS</v>
          </cell>
          <cell r="E430">
            <v>-47312214569</v>
          </cell>
        </row>
        <row r="431">
          <cell r="B431"/>
          <cell r="C431" t="str">
            <v>5.01.03.01</v>
          </cell>
          <cell r="D431" t="str">
            <v>COSTOS DE VENTAS VARIOS</v>
          </cell>
          <cell r="E431">
            <v>93093712</v>
          </cell>
        </row>
        <row r="432">
          <cell r="B432" t="str">
            <v>R-</v>
          </cell>
          <cell r="C432" t="str">
            <v>5.01.03.01.001</v>
          </cell>
          <cell r="D432" t="str">
            <v>Costos de venta MKT</v>
          </cell>
          <cell r="E432">
            <v>83445438</v>
          </cell>
        </row>
        <row r="433">
          <cell r="B433" t="str">
            <v>R-</v>
          </cell>
          <cell r="C433" t="str">
            <v>5.01.03.01.002</v>
          </cell>
          <cell r="D433" t="str">
            <v>Costos de venta equipos para la venta</v>
          </cell>
          <cell r="E433">
            <v>260720388</v>
          </cell>
        </row>
        <row r="434">
          <cell r="B434" t="str">
            <v>R-</v>
          </cell>
          <cell r="C434" t="str">
            <v>5.01.03.01.003</v>
          </cell>
          <cell r="D434" t="str">
            <v>Costos productos no conformes</v>
          </cell>
          <cell r="E434">
            <v>13319037</v>
          </cell>
        </row>
        <row r="435">
          <cell r="B435" t="str">
            <v>R-</v>
          </cell>
          <cell r="C435" t="str">
            <v>5.01.03.01.004</v>
          </cell>
          <cell r="D435" t="str">
            <v>Costos de mercaderias importadas</v>
          </cell>
          <cell r="E435">
            <v>-374585152</v>
          </cell>
        </row>
        <row r="436">
          <cell r="B436" t="str">
            <v>R-</v>
          </cell>
          <cell r="C436" t="str">
            <v>5.01.03.01.005</v>
          </cell>
          <cell r="D436" t="str">
            <v>Costos de mercaderias locales</v>
          </cell>
          <cell r="E436">
            <v>110194001</v>
          </cell>
        </row>
        <row r="437">
          <cell r="B437"/>
          <cell r="C437" t="str">
            <v>5.01.03.02</v>
          </cell>
          <cell r="D437" t="str">
            <v>COSTOS DE OBRAS</v>
          </cell>
          <cell r="E437">
            <v>970751373</v>
          </cell>
        </row>
        <row r="438">
          <cell r="B438" t="str">
            <v>R-</v>
          </cell>
          <cell r="C438" t="str">
            <v>5.01.03.02.001</v>
          </cell>
          <cell r="D438" t="str">
            <v>Costo de ventas de obras</v>
          </cell>
          <cell r="E438">
            <v>970751373</v>
          </cell>
        </row>
        <row r="439">
          <cell r="B439"/>
          <cell r="C439" t="str">
            <v>5.01.03.03</v>
          </cell>
          <cell r="D439" t="str">
            <v>COSTOS DE RETAZOS, SALDOS Y MERMAS</v>
          </cell>
          <cell r="E439">
            <v>-48848384047</v>
          </cell>
        </row>
        <row r="440">
          <cell r="B440" t="str">
            <v>R-</v>
          </cell>
          <cell r="C440" t="str">
            <v>5.01.03.03.001</v>
          </cell>
          <cell r="D440" t="str">
            <v>Costos de Retazos</v>
          </cell>
          <cell r="E440">
            <v>1079603268</v>
          </cell>
        </row>
        <row r="441">
          <cell r="B441" t="str">
            <v>R-</v>
          </cell>
          <cell r="C441" t="str">
            <v>5.01.03.03.002</v>
          </cell>
          <cell r="D441" t="str">
            <v>Costo de Mermas</v>
          </cell>
          <cell r="E441">
            <v>-49925875722</v>
          </cell>
        </row>
        <row r="442">
          <cell r="B442" t="str">
            <v>R-</v>
          </cell>
          <cell r="C442" t="str">
            <v>5.01.03.03.003</v>
          </cell>
          <cell r="D442" t="str">
            <v>Costos saldo Vilux</v>
          </cell>
          <cell r="E442">
            <v>-23062074</v>
          </cell>
        </row>
        <row r="443">
          <cell r="B443" t="str">
            <v>R-</v>
          </cell>
          <cell r="C443" t="str">
            <v>5.01.03.03.004</v>
          </cell>
          <cell r="D443" t="str">
            <v>Costos descabezados</v>
          </cell>
          <cell r="E443">
            <v>20950481</v>
          </cell>
        </row>
        <row r="444">
          <cell r="B444"/>
          <cell r="C444" t="str">
            <v>5.01.03.04</v>
          </cell>
          <cell r="D444" t="str">
            <v>COSTOS DE SERVICIOS</v>
          </cell>
          <cell r="E444">
            <v>472324393</v>
          </cell>
        </row>
        <row r="445">
          <cell r="B445" t="str">
            <v>R-</v>
          </cell>
          <cell r="C445" t="str">
            <v>5.01.03.04.001</v>
          </cell>
          <cell r="D445" t="str">
            <v>Costos de Servicios</v>
          </cell>
          <cell r="E445">
            <v>472324393</v>
          </cell>
        </row>
        <row r="446">
          <cell r="B446" t="str">
            <v>R-</v>
          </cell>
          <cell r="C446" t="str">
            <v>5.01.03.04.002</v>
          </cell>
          <cell r="D446" t="str">
            <v>Costo de servicios aeronave piloto</v>
          </cell>
          <cell r="E446">
            <v>0</v>
          </cell>
        </row>
        <row r="447">
          <cell r="B447"/>
          <cell r="C447" t="str">
            <v>6.01</v>
          </cell>
          <cell r="D447" t="str">
            <v>GASTOS OPERACIONALES</v>
          </cell>
          <cell r="E447">
            <v>45612042734</v>
          </cell>
        </row>
        <row r="448">
          <cell r="B448"/>
          <cell r="C448" t="str">
            <v>6.01.01</v>
          </cell>
          <cell r="D448" t="str">
            <v>GASTOS OPERACIONALES</v>
          </cell>
          <cell r="E448">
            <v>45612042734</v>
          </cell>
        </row>
        <row r="449">
          <cell r="B449"/>
          <cell r="C449" t="str">
            <v>6.01.01.01</v>
          </cell>
          <cell r="D449" t="str">
            <v>GASTOS DEL PERSONAL</v>
          </cell>
          <cell r="E449">
            <v>21732397524</v>
          </cell>
        </row>
        <row r="450">
          <cell r="B450" t="str">
            <v>R-</v>
          </cell>
          <cell r="C450" t="str">
            <v>6.01.01.01.001</v>
          </cell>
          <cell r="D450" t="str">
            <v>Sueldos y Jornales</v>
          </cell>
          <cell r="E450">
            <v>15504442242</v>
          </cell>
        </row>
        <row r="451">
          <cell r="B451" t="str">
            <v>R-</v>
          </cell>
          <cell r="C451" t="str">
            <v>6.01.01.01.002</v>
          </cell>
          <cell r="D451" t="str">
            <v>Horas Extras</v>
          </cell>
          <cell r="E451">
            <v>149812633</v>
          </cell>
        </row>
        <row r="452">
          <cell r="B452" t="str">
            <v>R-</v>
          </cell>
          <cell r="C452" t="str">
            <v>6.01.01.01.003</v>
          </cell>
          <cell r="D452" t="str">
            <v>Complemento horario nocturno</v>
          </cell>
          <cell r="E452">
            <v>88282012</v>
          </cell>
        </row>
        <row r="453">
          <cell r="B453" t="str">
            <v>R-</v>
          </cell>
          <cell r="C453" t="str">
            <v>6.01.01.01.004</v>
          </cell>
          <cell r="D453" t="str">
            <v>Otros beneficios IPS</v>
          </cell>
          <cell r="E453">
            <v>133683117</v>
          </cell>
        </row>
        <row r="454">
          <cell r="B454" t="str">
            <v>R-</v>
          </cell>
          <cell r="C454" t="str">
            <v>6.01.01.01.005</v>
          </cell>
          <cell r="D454" t="str">
            <v>Comisiones pagadas IPS</v>
          </cell>
          <cell r="E454">
            <v>876351819</v>
          </cell>
        </row>
        <row r="455">
          <cell r="B455" t="str">
            <v>R-</v>
          </cell>
          <cell r="C455" t="str">
            <v>6.01.01.01.006</v>
          </cell>
          <cell r="D455" t="str">
            <v>Vacaciones</v>
          </cell>
          <cell r="E455">
            <v>181819826</v>
          </cell>
        </row>
        <row r="456">
          <cell r="B456" t="str">
            <v>R-</v>
          </cell>
          <cell r="C456" t="str">
            <v>6.01.01.01.007</v>
          </cell>
          <cell r="D456" t="str">
            <v>Aguinaldo</v>
          </cell>
          <cell r="E456">
            <v>1394603733</v>
          </cell>
        </row>
        <row r="457">
          <cell r="B457" t="str">
            <v>R-</v>
          </cell>
          <cell r="C457" t="str">
            <v>6.01.01.01.008</v>
          </cell>
          <cell r="D457" t="str">
            <v>Gratificaciones</v>
          </cell>
          <cell r="E457">
            <v>135020420</v>
          </cell>
        </row>
        <row r="458">
          <cell r="B458" t="str">
            <v>R-</v>
          </cell>
          <cell r="C458" t="str">
            <v>6.01.01.01.010</v>
          </cell>
          <cell r="D458" t="str">
            <v>Preaviso</v>
          </cell>
          <cell r="E458">
            <v>28044774</v>
          </cell>
        </row>
        <row r="459">
          <cell r="B459" t="str">
            <v>R-</v>
          </cell>
          <cell r="C459" t="str">
            <v>6.01.01.01.011</v>
          </cell>
          <cell r="D459" t="str">
            <v>Indemnizacion</v>
          </cell>
          <cell r="E459">
            <v>183361800</v>
          </cell>
        </row>
        <row r="460">
          <cell r="B460" t="str">
            <v>R-</v>
          </cell>
          <cell r="C460" t="str">
            <v>6.01.01.01.012</v>
          </cell>
          <cell r="D460" t="str">
            <v>Aporte Patronal</v>
          </cell>
          <cell r="E460">
            <v>2832068830</v>
          </cell>
        </row>
        <row r="461">
          <cell r="B461" t="str">
            <v>R-</v>
          </cell>
          <cell r="C461" t="str">
            <v>6.01.01.01.013</v>
          </cell>
          <cell r="D461" t="str">
            <v>Bonificacion Familiar</v>
          </cell>
          <cell r="E461">
            <v>224906318</v>
          </cell>
        </row>
        <row r="462">
          <cell r="B462"/>
          <cell r="C462" t="str">
            <v>6.01.01.02</v>
          </cell>
          <cell r="D462" t="str">
            <v>GASTOS DE SERVICIOS PERSONALES</v>
          </cell>
          <cell r="E462">
            <v>1641555231</v>
          </cell>
        </row>
        <row r="463">
          <cell r="B463" t="str">
            <v>R-</v>
          </cell>
          <cell r="C463" t="str">
            <v>6.01.01.02.001</v>
          </cell>
          <cell r="D463" t="str">
            <v>Servicios personales</v>
          </cell>
          <cell r="E463">
            <v>1390992346</v>
          </cell>
        </row>
        <row r="464">
          <cell r="B464" t="str">
            <v>R-</v>
          </cell>
          <cell r="C464" t="str">
            <v>6.01.01.02.002</v>
          </cell>
          <cell r="D464" t="str">
            <v>Comisiones pagadas Servicios</v>
          </cell>
          <cell r="E464">
            <v>250562885</v>
          </cell>
        </row>
        <row r="465">
          <cell r="B465"/>
          <cell r="C465" t="str">
            <v>6.01.01.03</v>
          </cell>
          <cell r="D465" t="str">
            <v>REMUNERACION PERSONAL SUPERIOR</v>
          </cell>
          <cell r="E465">
            <v>667916666</v>
          </cell>
        </row>
        <row r="466">
          <cell r="B466" t="str">
            <v>R-</v>
          </cell>
          <cell r="C466" t="str">
            <v>6.01.01.03.001</v>
          </cell>
          <cell r="D466" t="str">
            <v>Remuneracion Personal Superior</v>
          </cell>
          <cell r="E466">
            <v>667916666</v>
          </cell>
        </row>
        <row r="467">
          <cell r="B467"/>
          <cell r="C467" t="str">
            <v>6.01.01.04</v>
          </cell>
          <cell r="D467" t="str">
            <v>GASTOS DE RRHH</v>
          </cell>
          <cell r="E467">
            <v>1095195791</v>
          </cell>
        </row>
        <row r="468">
          <cell r="B468" t="str">
            <v>R-</v>
          </cell>
          <cell r="C468" t="str">
            <v>6.01.01.04.001</v>
          </cell>
          <cell r="D468" t="str">
            <v>Capacitacion del personal</v>
          </cell>
          <cell r="E468">
            <v>55592803</v>
          </cell>
        </row>
        <row r="469">
          <cell r="B469" t="str">
            <v>R-</v>
          </cell>
          <cell r="C469" t="str">
            <v>6.01.01.04.003</v>
          </cell>
          <cell r="D469" t="str">
            <v>Seguro Medico</v>
          </cell>
          <cell r="E469">
            <v>121227256</v>
          </cell>
        </row>
        <row r="470">
          <cell r="B470" t="str">
            <v>R-</v>
          </cell>
          <cell r="C470" t="str">
            <v>6.01.01.04.004</v>
          </cell>
          <cell r="D470" t="str">
            <v>Beneficios almuerzos</v>
          </cell>
          <cell r="E470">
            <v>598308604</v>
          </cell>
        </row>
        <row r="471">
          <cell r="B471" t="str">
            <v>R-</v>
          </cell>
          <cell r="C471" t="str">
            <v>6.01.01.04.005</v>
          </cell>
          <cell r="D471" t="str">
            <v>Beneficios uniformes</v>
          </cell>
          <cell r="E471">
            <v>16518380</v>
          </cell>
        </row>
        <row r="472">
          <cell r="B472" t="str">
            <v>R-</v>
          </cell>
          <cell r="C472" t="str">
            <v>6.01.01.04.007</v>
          </cell>
          <cell r="D472" t="str">
            <v>Eventos RRHH</v>
          </cell>
          <cell r="E472">
            <v>28186680</v>
          </cell>
        </row>
        <row r="473">
          <cell r="B473" t="str">
            <v>R-</v>
          </cell>
          <cell r="C473" t="str">
            <v>6.01.01.04.008</v>
          </cell>
          <cell r="D473" t="str">
            <v>Campa¤as internas RRHH</v>
          </cell>
          <cell r="E473">
            <v>9666327</v>
          </cell>
        </row>
        <row r="474">
          <cell r="B474" t="str">
            <v>R-</v>
          </cell>
          <cell r="C474" t="str">
            <v>6.01.01.04.009</v>
          </cell>
          <cell r="D474" t="str">
            <v>Busqueda y seleccion de personal</v>
          </cell>
          <cell r="E474">
            <v>177475927</v>
          </cell>
        </row>
        <row r="475">
          <cell r="B475" t="str">
            <v>R-</v>
          </cell>
          <cell r="C475" t="str">
            <v>6.01.01.04.010</v>
          </cell>
          <cell r="D475" t="str">
            <v>Otros gastos RRHH</v>
          </cell>
          <cell r="E475">
            <v>78750344</v>
          </cell>
        </row>
        <row r="476">
          <cell r="B476" t="str">
            <v>R-</v>
          </cell>
          <cell r="C476" t="str">
            <v>6.01.01.04.012</v>
          </cell>
          <cell r="D476" t="str">
            <v>Otros Beneficios</v>
          </cell>
          <cell r="E476">
            <v>9469470</v>
          </cell>
        </row>
        <row r="477">
          <cell r="B477"/>
          <cell r="C477" t="str">
            <v>6.01.01.05</v>
          </cell>
          <cell r="D477" t="str">
            <v>HONORARIOS PROFESIONALES Y PRESTACION DE SERVICIOS PERSONALES</v>
          </cell>
          <cell r="E477">
            <v>1190027803</v>
          </cell>
        </row>
        <row r="478">
          <cell r="B478" t="str">
            <v>R-</v>
          </cell>
          <cell r="C478" t="str">
            <v>6.01.01.05.001</v>
          </cell>
          <cell r="D478" t="str">
            <v>Honorarios Auditoria Externa</v>
          </cell>
          <cell r="E478">
            <v>101260479</v>
          </cell>
        </row>
        <row r="479">
          <cell r="B479" t="str">
            <v>R-</v>
          </cell>
          <cell r="C479" t="str">
            <v>6.01.01.05.002</v>
          </cell>
          <cell r="D479" t="str">
            <v>Honorarios Legales</v>
          </cell>
          <cell r="E479">
            <v>129918243</v>
          </cell>
        </row>
        <row r="480">
          <cell r="B480" t="str">
            <v>R-</v>
          </cell>
          <cell r="C480" t="str">
            <v>6.01.01.05.003</v>
          </cell>
          <cell r="D480" t="str">
            <v>Honorarios Servicios Asesores</v>
          </cell>
          <cell r="E480">
            <v>48978810</v>
          </cell>
        </row>
        <row r="481">
          <cell r="B481" t="str">
            <v>R-</v>
          </cell>
          <cell r="C481" t="str">
            <v>6.01.01.05.004</v>
          </cell>
          <cell r="D481" t="str">
            <v>Prestaciones de terceros</v>
          </cell>
          <cell r="E481">
            <v>712802860</v>
          </cell>
        </row>
        <row r="482">
          <cell r="B482" t="str">
            <v>R-</v>
          </cell>
          <cell r="C482" t="str">
            <v>6.01.01.05.005</v>
          </cell>
          <cell r="D482" t="str">
            <v>Honorarios Sindicos</v>
          </cell>
          <cell r="E482">
            <v>0</v>
          </cell>
        </row>
        <row r="483">
          <cell r="B483" t="str">
            <v>R-</v>
          </cell>
          <cell r="C483" t="str">
            <v>6.01.01.05.006</v>
          </cell>
          <cell r="D483" t="str">
            <v>Honorarios Legales Judiciales</v>
          </cell>
          <cell r="E483">
            <v>194709410</v>
          </cell>
        </row>
        <row r="484">
          <cell r="B484" t="str">
            <v>R-</v>
          </cell>
          <cell r="C484" t="str">
            <v>6.01.01.05.007</v>
          </cell>
          <cell r="D484" t="str">
            <v>Gastos de Cobranzas Extrajudiciales</v>
          </cell>
          <cell r="E484">
            <v>2358001</v>
          </cell>
        </row>
        <row r="485">
          <cell r="B485"/>
          <cell r="C485" t="str">
            <v>6.01.01.06</v>
          </cell>
          <cell r="D485" t="str">
            <v>SERVICIOS PUBLICOS</v>
          </cell>
          <cell r="E485">
            <v>2108037553</v>
          </cell>
        </row>
        <row r="486">
          <cell r="B486" t="str">
            <v>R-</v>
          </cell>
          <cell r="C486" t="str">
            <v>6.01.01.06.001</v>
          </cell>
          <cell r="D486" t="str">
            <v>Consumo electricidad</v>
          </cell>
          <cell r="E486">
            <v>1772523420</v>
          </cell>
        </row>
        <row r="487">
          <cell r="B487" t="str">
            <v>R-</v>
          </cell>
          <cell r="C487" t="str">
            <v>6.01.01.06.002</v>
          </cell>
          <cell r="D487" t="str">
            <v>Servicios de comunicaciones</v>
          </cell>
          <cell r="E487">
            <v>288588749</v>
          </cell>
        </row>
        <row r="488">
          <cell r="B488" t="str">
            <v>R-</v>
          </cell>
          <cell r="C488" t="str">
            <v>6.01.01.06.003</v>
          </cell>
          <cell r="D488" t="str">
            <v>Otros Servicios</v>
          </cell>
          <cell r="E488">
            <v>46627708</v>
          </cell>
        </row>
        <row r="489">
          <cell r="B489" t="str">
            <v>R-</v>
          </cell>
          <cell r="C489" t="str">
            <v>6.01.01.06.004</v>
          </cell>
          <cell r="D489" t="str">
            <v>Consumo Agua</v>
          </cell>
          <cell r="E489">
            <v>297676</v>
          </cell>
        </row>
        <row r="490">
          <cell r="B490"/>
          <cell r="C490" t="str">
            <v>6.01.01.07</v>
          </cell>
          <cell r="D490" t="str">
            <v>ALQUILERES PAGADOS</v>
          </cell>
          <cell r="E490">
            <v>5514998805</v>
          </cell>
        </row>
        <row r="491">
          <cell r="B491" t="str">
            <v>R-</v>
          </cell>
          <cell r="C491" t="str">
            <v>6.01.01.07.001</v>
          </cell>
          <cell r="D491" t="str">
            <v>Usufructo de Inmuebles</v>
          </cell>
          <cell r="E491">
            <v>3445225080</v>
          </cell>
        </row>
        <row r="492">
          <cell r="B492" t="str">
            <v>R-</v>
          </cell>
          <cell r="C492" t="str">
            <v>6.01.01.07.002</v>
          </cell>
          <cell r="D492" t="str">
            <v>Alquileres de Inmuebles</v>
          </cell>
          <cell r="E492">
            <v>17428575</v>
          </cell>
        </row>
        <row r="493">
          <cell r="B493" t="str">
            <v>R-</v>
          </cell>
          <cell r="C493" t="str">
            <v>6.01.01.07.003</v>
          </cell>
          <cell r="D493" t="str">
            <v>Leasing de Maquinas y Equipos</v>
          </cell>
          <cell r="E493">
            <v>159518184</v>
          </cell>
        </row>
        <row r="494">
          <cell r="B494" t="str">
            <v>R-</v>
          </cell>
          <cell r="C494" t="str">
            <v>6.01.01.07.005</v>
          </cell>
          <cell r="D494" t="str">
            <v>Otros Alquileres</v>
          </cell>
          <cell r="E494">
            <v>358866546</v>
          </cell>
        </row>
        <row r="495">
          <cell r="B495" t="str">
            <v>R-</v>
          </cell>
          <cell r="C495" t="str">
            <v>6.01.01.07.006</v>
          </cell>
          <cell r="D495" t="str">
            <v>Alquiler de maquinarias</v>
          </cell>
          <cell r="E495">
            <v>1533960420</v>
          </cell>
        </row>
        <row r="496">
          <cell r="B496"/>
          <cell r="C496" t="str">
            <v>6.01.01.08</v>
          </cell>
          <cell r="D496" t="str">
            <v>COMISIONES COBRANZAS</v>
          </cell>
          <cell r="E496">
            <v>108817270</v>
          </cell>
        </row>
        <row r="497">
          <cell r="B497" t="str">
            <v>R-</v>
          </cell>
          <cell r="C497" t="str">
            <v>6.01.01.08.001</v>
          </cell>
          <cell r="D497" t="str">
            <v>Comisiones Tarjeta de credito</v>
          </cell>
          <cell r="E497">
            <v>108817270</v>
          </cell>
        </row>
        <row r="498">
          <cell r="B498"/>
          <cell r="C498" t="str">
            <v>6.01.01.09</v>
          </cell>
          <cell r="D498" t="str">
            <v>PUBLICIDAD Y PROPAGANDA</v>
          </cell>
          <cell r="E498">
            <v>653975370</v>
          </cell>
        </row>
        <row r="499">
          <cell r="B499" t="str">
            <v>R-</v>
          </cell>
          <cell r="C499" t="str">
            <v>6.01.01.09.001</v>
          </cell>
          <cell r="D499" t="str">
            <v>Publicidad y Marketing</v>
          </cell>
          <cell r="E499">
            <v>317615204</v>
          </cell>
        </row>
        <row r="500">
          <cell r="B500" t="str">
            <v>R-</v>
          </cell>
          <cell r="C500" t="str">
            <v>6.01.01.09.002</v>
          </cell>
          <cell r="D500" t="str">
            <v>Auspicios</v>
          </cell>
          <cell r="E500">
            <v>6090909</v>
          </cell>
        </row>
        <row r="501">
          <cell r="B501" t="str">
            <v>R-</v>
          </cell>
          <cell r="C501" t="str">
            <v>6.01.01.09.003</v>
          </cell>
          <cell r="D501" t="str">
            <v>Eventos MKT</v>
          </cell>
          <cell r="E501">
            <v>24836673</v>
          </cell>
        </row>
        <row r="502">
          <cell r="B502" t="str">
            <v>R-</v>
          </cell>
          <cell r="C502" t="str">
            <v>6.01.01.09.004</v>
          </cell>
          <cell r="D502" t="str">
            <v>Desarrollos nuevos productos MKT</v>
          </cell>
          <cell r="E502">
            <v>67563122</v>
          </cell>
        </row>
        <row r="503">
          <cell r="B503" t="str">
            <v>R-</v>
          </cell>
          <cell r="C503" t="str">
            <v>6.01.01.09.006</v>
          </cell>
          <cell r="D503" t="str">
            <v>Servicios de Imprenta</v>
          </cell>
          <cell r="E503">
            <v>12756819</v>
          </cell>
        </row>
        <row r="504">
          <cell r="B504" t="str">
            <v>R-</v>
          </cell>
          <cell r="C504" t="str">
            <v>6.01.01.09.008</v>
          </cell>
          <cell r="D504" t="str">
            <v>Merchandising</v>
          </cell>
          <cell r="E504">
            <v>46739128</v>
          </cell>
        </row>
        <row r="505">
          <cell r="B505" t="str">
            <v>R-</v>
          </cell>
          <cell r="C505" t="str">
            <v>6.01.01.09.009</v>
          </cell>
          <cell r="D505" t="str">
            <v>Obsequios otorgados</v>
          </cell>
          <cell r="E505">
            <v>14240771</v>
          </cell>
        </row>
        <row r="506">
          <cell r="B506" t="str">
            <v>R-</v>
          </cell>
          <cell r="C506" t="str">
            <v>6.01.01.09.010</v>
          </cell>
          <cell r="D506" t="str">
            <v>Gastos Varios MKT</v>
          </cell>
          <cell r="E506">
            <v>1236517</v>
          </cell>
        </row>
        <row r="507">
          <cell r="B507" t="str">
            <v>R-</v>
          </cell>
          <cell r="C507" t="str">
            <v>6.01.01.09.011</v>
          </cell>
          <cell r="D507" t="str">
            <v>Talleres y entrenamientos MKT</v>
          </cell>
          <cell r="E507">
            <v>8156</v>
          </cell>
        </row>
        <row r="508">
          <cell r="B508" t="str">
            <v>R-</v>
          </cell>
          <cell r="C508" t="str">
            <v>6.01.01.09.012</v>
          </cell>
          <cell r="D508" t="str">
            <v>Beneficio a Clientes por Carteles</v>
          </cell>
          <cell r="E508">
            <v>150243903</v>
          </cell>
        </row>
        <row r="509">
          <cell r="B509" t="str">
            <v>R-</v>
          </cell>
          <cell r="C509" t="str">
            <v>6.01.01.09.013</v>
          </cell>
          <cell r="D509" t="str">
            <v>Eventos Institucionales</v>
          </cell>
          <cell r="E509">
            <v>12644168</v>
          </cell>
        </row>
        <row r="510">
          <cell r="B510"/>
          <cell r="C510" t="str">
            <v>6.01.01.10</v>
          </cell>
          <cell r="D510" t="str">
            <v>SEGUROS PAGADOS</v>
          </cell>
          <cell r="E510">
            <v>319340556</v>
          </cell>
        </row>
        <row r="511">
          <cell r="B511" t="str">
            <v>R-</v>
          </cell>
          <cell r="C511" t="str">
            <v>6.01.01.10.001</v>
          </cell>
          <cell r="D511" t="str">
            <v>Seguros rodados</v>
          </cell>
          <cell r="E511">
            <v>66418192</v>
          </cell>
        </row>
        <row r="512">
          <cell r="B512" t="str">
            <v>R-</v>
          </cell>
          <cell r="C512" t="str">
            <v>6.01.01.10.002</v>
          </cell>
          <cell r="D512" t="str">
            <v>Seguros patrimoniales</v>
          </cell>
          <cell r="E512">
            <v>176463650</v>
          </cell>
        </row>
        <row r="513">
          <cell r="B513" t="str">
            <v>R-</v>
          </cell>
          <cell r="C513" t="str">
            <v>6.01.01.10.003</v>
          </cell>
          <cell r="D513" t="str">
            <v>Seguros varios</v>
          </cell>
          <cell r="E513">
            <v>63104186</v>
          </cell>
        </row>
        <row r="514">
          <cell r="B514" t="str">
            <v>R-</v>
          </cell>
          <cell r="C514" t="str">
            <v>6.01.01.10.004</v>
          </cell>
          <cell r="D514" t="str">
            <v>Seguros mercaderias en transito</v>
          </cell>
          <cell r="E514">
            <v>13354528</v>
          </cell>
        </row>
        <row r="515">
          <cell r="B515"/>
          <cell r="C515" t="str">
            <v>6.01.01.11</v>
          </cell>
          <cell r="D515" t="str">
            <v>GASTOS DE MANTENIMIENTO</v>
          </cell>
          <cell r="E515">
            <v>2288799890</v>
          </cell>
        </row>
        <row r="516">
          <cell r="B516" t="str">
            <v>R-</v>
          </cell>
          <cell r="C516" t="str">
            <v>6.01.01.11.001</v>
          </cell>
          <cell r="D516" t="str">
            <v>Mantenimiento inmuebles y edificios</v>
          </cell>
          <cell r="E516">
            <v>338890340</v>
          </cell>
        </row>
        <row r="517">
          <cell r="B517" t="str">
            <v>R-</v>
          </cell>
          <cell r="C517" t="str">
            <v>6.01.01.11.002</v>
          </cell>
          <cell r="D517" t="str">
            <v>Mantenimiento automotores</v>
          </cell>
          <cell r="E517">
            <v>247723085</v>
          </cell>
        </row>
        <row r="518">
          <cell r="B518" t="str">
            <v>R-</v>
          </cell>
          <cell r="C518" t="str">
            <v>6.01.01.11.003</v>
          </cell>
          <cell r="D518" t="str">
            <v>Mantenimiento sistemas</v>
          </cell>
          <cell r="E518">
            <v>717354009</v>
          </cell>
        </row>
        <row r="519">
          <cell r="B519" t="str">
            <v>R-</v>
          </cell>
          <cell r="C519" t="str">
            <v>6.01.01.11.004</v>
          </cell>
          <cell r="D519" t="str">
            <v>Mantenimiento muebles y equipos</v>
          </cell>
          <cell r="E519">
            <v>75464369</v>
          </cell>
        </row>
        <row r="520">
          <cell r="B520" t="str">
            <v>R-</v>
          </cell>
          <cell r="C520" t="str">
            <v>6.01.01.11.005</v>
          </cell>
          <cell r="D520" t="str">
            <v>Gastos de mermas</v>
          </cell>
          <cell r="E520">
            <v>0</v>
          </cell>
        </row>
        <row r="521">
          <cell r="B521" t="str">
            <v>R-</v>
          </cell>
          <cell r="C521" t="str">
            <v>6.01.01.11.007</v>
          </cell>
          <cell r="D521" t="str">
            <v>Mantenimiento preventivo maquinas y equipos planta</v>
          </cell>
          <cell r="E521">
            <v>488044417</v>
          </cell>
        </row>
        <row r="522">
          <cell r="B522" t="str">
            <v>R-</v>
          </cell>
          <cell r="C522" t="str">
            <v>6.01.01.11.008</v>
          </cell>
          <cell r="D522" t="str">
            <v>Mantenimiento correctivo maquinas y equipos planta</v>
          </cell>
          <cell r="E522">
            <v>353652779</v>
          </cell>
        </row>
        <row r="523">
          <cell r="B523" t="str">
            <v>R-</v>
          </cell>
          <cell r="C523" t="str">
            <v>6.01.01.11.009</v>
          </cell>
          <cell r="D523" t="str">
            <v>Herramientas y equipos</v>
          </cell>
          <cell r="E523">
            <v>53737345</v>
          </cell>
        </row>
        <row r="524">
          <cell r="B524" t="str">
            <v>R-</v>
          </cell>
          <cell r="C524" t="str">
            <v>6.01.01.11.010</v>
          </cell>
          <cell r="D524" t="str">
            <v>Mantenimiento maquinarias</v>
          </cell>
          <cell r="E524">
            <v>36364</v>
          </cell>
        </row>
        <row r="525">
          <cell r="B525" t="str">
            <v>R-</v>
          </cell>
          <cell r="C525" t="str">
            <v>6.01.01.11.011</v>
          </cell>
          <cell r="D525" t="str">
            <v>Gastos servicios tecnico tercerizado</v>
          </cell>
          <cell r="E525">
            <v>13897182</v>
          </cell>
        </row>
        <row r="526">
          <cell r="B526" t="str">
            <v>R-</v>
          </cell>
          <cell r="C526" t="str">
            <v>6.01.01.11.012</v>
          </cell>
          <cell r="D526" t="str">
            <v>Mantenimiento Aeronave</v>
          </cell>
          <cell r="E526">
            <v>0</v>
          </cell>
        </row>
        <row r="527">
          <cell r="B527" t="str">
            <v>R-</v>
          </cell>
          <cell r="C527" t="str">
            <v>6.01.01.11.014</v>
          </cell>
          <cell r="D527" t="str">
            <v>Gastos combustibles Aeronave</v>
          </cell>
          <cell r="E527">
            <v>0</v>
          </cell>
        </row>
        <row r="528">
          <cell r="B528" t="str">
            <v>R-</v>
          </cell>
          <cell r="C528" t="str">
            <v>6.01.01.11.013</v>
          </cell>
          <cell r="D528" t="str">
            <v>Gastos operativos Aeronave</v>
          </cell>
          <cell r="E528">
            <v>0</v>
          </cell>
        </row>
        <row r="529">
          <cell r="B529"/>
          <cell r="C529" t="str">
            <v>6.01.01.12</v>
          </cell>
          <cell r="D529" t="str">
            <v>GASTOS DE DISTRIBUCION LOGISTICA</v>
          </cell>
          <cell r="E529">
            <v>4678177079</v>
          </cell>
        </row>
        <row r="530">
          <cell r="B530" t="str">
            <v>R-</v>
          </cell>
          <cell r="C530" t="str">
            <v>6.01.01.12.001</v>
          </cell>
          <cell r="D530" t="str">
            <v>Gastos de movilidad repartos</v>
          </cell>
          <cell r="E530">
            <v>227655564</v>
          </cell>
        </row>
        <row r="531">
          <cell r="B531" t="str">
            <v>R-</v>
          </cell>
          <cell r="C531" t="str">
            <v>6.01.01.12.002</v>
          </cell>
          <cell r="D531" t="str">
            <v>Gastos de movilidad logistica</v>
          </cell>
          <cell r="E531">
            <v>614826190</v>
          </cell>
        </row>
        <row r="532">
          <cell r="B532" t="str">
            <v>R-</v>
          </cell>
          <cell r="C532" t="str">
            <v>6.01.01.12.003</v>
          </cell>
          <cell r="D532" t="str">
            <v>Gastos de distribucion</v>
          </cell>
          <cell r="E532">
            <v>122374532</v>
          </cell>
        </row>
        <row r="533">
          <cell r="B533" t="str">
            <v>R-</v>
          </cell>
          <cell r="C533" t="str">
            <v>6.01.01.12.004</v>
          </cell>
          <cell r="D533" t="str">
            <v>Gastos de fletes</v>
          </cell>
          <cell r="E533">
            <v>401379548</v>
          </cell>
        </row>
        <row r="534">
          <cell r="B534" t="str">
            <v>R-</v>
          </cell>
          <cell r="C534" t="str">
            <v>6.01.01.12.005</v>
          </cell>
          <cell r="D534" t="str">
            <v>Leasing rodados</v>
          </cell>
          <cell r="E534">
            <v>2864796368</v>
          </cell>
        </row>
        <row r="535">
          <cell r="B535" t="str">
            <v>R-</v>
          </cell>
          <cell r="C535" t="str">
            <v>6.01.01.12.006</v>
          </cell>
          <cell r="D535" t="str">
            <v>Gastos de almacenamiento</v>
          </cell>
          <cell r="E535">
            <v>30849800</v>
          </cell>
        </row>
        <row r="536">
          <cell r="B536" t="str">
            <v>R-</v>
          </cell>
          <cell r="C536" t="str">
            <v>6.01.01.12.007</v>
          </cell>
          <cell r="D536" t="str">
            <v>Gastos de reparto almacenamiento</v>
          </cell>
          <cell r="E536">
            <v>416295077</v>
          </cell>
        </row>
        <row r="537">
          <cell r="B537" t="str">
            <v>R-</v>
          </cell>
          <cell r="C537" t="str">
            <v>6.01.01.12.008</v>
          </cell>
          <cell r="D537" t="str">
            <v>Gastos de exportacion</v>
          </cell>
          <cell r="E537">
            <v>0</v>
          </cell>
        </row>
        <row r="538">
          <cell r="B538"/>
          <cell r="C538" t="str">
            <v>6.01.01.13</v>
          </cell>
          <cell r="D538" t="str">
            <v>GASTOS DE COMERCIALIZACION</v>
          </cell>
          <cell r="E538">
            <v>1488254817</v>
          </cell>
        </row>
        <row r="539">
          <cell r="B539" t="str">
            <v>R-</v>
          </cell>
          <cell r="C539" t="str">
            <v>6.01.01.13.002</v>
          </cell>
          <cell r="D539" t="str">
            <v>Acuerdos comerciales por zona</v>
          </cell>
          <cell r="E539">
            <v>1488254817</v>
          </cell>
        </row>
        <row r="540">
          <cell r="B540"/>
          <cell r="C540" t="str">
            <v>6.01.01.14</v>
          </cell>
          <cell r="D540" t="str">
            <v>SEGURIDAD Y VIGILANCIA</v>
          </cell>
          <cell r="E540">
            <v>568386025</v>
          </cell>
        </row>
        <row r="541">
          <cell r="B541" t="str">
            <v>R-</v>
          </cell>
          <cell r="C541" t="str">
            <v>6.01.01.14.001</v>
          </cell>
          <cell r="D541" t="str">
            <v>Insumos de calidad CIPA</v>
          </cell>
          <cell r="E541">
            <v>418636</v>
          </cell>
        </row>
        <row r="542">
          <cell r="B542" t="str">
            <v>R-</v>
          </cell>
          <cell r="C542" t="str">
            <v>6.01.01.14.002</v>
          </cell>
          <cell r="D542" t="str">
            <v>Insumos de calidad</v>
          </cell>
          <cell r="E542">
            <v>231818</v>
          </cell>
        </row>
        <row r="543">
          <cell r="B543" t="str">
            <v>R-</v>
          </cell>
          <cell r="C543" t="str">
            <v>6.01.01.14.003</v>
          </cell>
          <cell r="D543" t="str">
            <v>Equipos de proteccion</v>
          </cell>
          <cell r="E543">
            <v>60539194</v>
          </cell>
        </row>
        <row r="544">
          <cell r="B544" t="str">
            <v>R-</v>
          </cell>
          <cell r="C544" t="str">
            <v>6.01.01.14.004</v>
          </cell>
          <cell r="D544" t="str">
            <v>Seguridad y vigilancia</v>
          </cell>
          <cell r="E544">
            <v>491790438</v>
          </cell>
        </row>
        <row r="545">
          <cell r="B545" t="str">
            <v>R-</v>
          </cell>
          <cell r="C545" t="str">
            <v>6.01.01.14.005</v>
          </cell>
          <cell r="D545" t="str">
            <v>Gastos CIPA</v>
          </cell>
          <cell r="E545">
            <v>15405939</v>
          </cell>
        </row>
        <row r="546">
          <cell r="B546"/>
          <cell r="C546" t="str">
            <v>6.01.01.15</v>
          </cell>
          <cell r="D546" t="str">
            <v>VIAJES Y VIATICOS</v>
          </cell>
          <cell r="E546">
            <v>429394559</v>
          </cell>
        </row>
        <row r="547">
          <cell r="B547" t="str">
            <v>R-</v>
          </cell>
          <cell r="C547" t="str">
            <v>6.01.01.15.002</v>
          </cell>
          <cell r="D547" t="str">
            <v>Estadias y viaticos</v>
          </cell>
          <cell r="E547">
            <v>105205782</v>
          </cell>
        </row>
        <row r="548">
          <cell r="B548" t="str">
            <v>R-</v>
          </cell>
          <cell r="C548" t="str">
            <v>6.01.01.15.003</v>
          </cell>
          <cell r="D548" t="str">
            <v>Gastos de movilidad</v>
          </cell>
          <cell r="E548">
            <v>324188777</v>
          </cell>
        </row>
        <row r="549">
          <cell r="B549"/>
          <cell r="C549" t="str">
            <v>6.01.01.16</v>
          </cell>
          <cell r="D549" t="str">
            <v>PAPELERIA</v>
          </cell>
          <cell r="E549">
            <v>141862087</v>
          </cell>
        </row>
        <row r="550">
          <cell r="B550" t="str">
            <v>R-</v>
          </cell>
          <cell r="C550" t="str">
            <v>6.01.01.16.001</v>
          </cell>
          <cell r="D550" t="str">
            <v>Utiles de oficina</v>
          </cell>
          <cell r="E550">
            <v>98143020</v>
          </cell>
        </row>
        <row r="551">
          <cell r="B551" t="str">
            <v>R-</v>
          </cell>
          <cell r="C551" t="str">
            <v>6.01.01.16.002</v>
          </cell>
          <cell r="D551" t="str">
            <v>Publicaciones - Suscripciones</v>
          </cell>
          <cell r="E551">
            <v>43719067</v>
          </cell>
        </row>
        <row r="552">
          <cell r="B552"/>
          <cell r="C552" t="str">
            <v>6.01.01.17</v>
          </cell>
          <cell r="D552" t="str">
            <v>GASTOS DE REPRESENTACION</v>
          </cell>
          <cell r="E552">
            <v>3312465</v>
          </cell>
        </row>
        <row r="553">
          <cell r="B553" t="str">
            <v>R-</v>
          </cell>
          <cell r="C553" t="str">
            <v>6.01.01.17.001</v>
          </cell>
          <cell r="D553" t="str">
            <v>Gastos de representacion local</v>
          </cell>
          <cell r="E553">
            <v>3285192</v>
          </cell>
        </row>
        <row r="554">
          <cell r="B554" t="str">
            <v>R-</v>
          </cell>
          <cell r="C554" t="str">
            <v>6.01.01.17.002</v>
          </cell>
          <cell r="D554" t="str">
            <v>Gastos de representacion exterior</v>
          </cell>
          <cell r="E554">
            <v>27273</v>
          </cell>
        </row>
        <row r="555">
          <cell r="B555"/>
          <cell r="C555" t="str">
            <v>6.01.01.18</v>
          </cell>
          <cell r="D555" t="str">
            <v>OTROS GASTOS GENERALES</v>
          </cell>
          <cell r="E555">
            <v>562470898</v>
          </cell>
        </row>
        <row r="556">
          <cell r="B556" t="str">
            <v>R-</v>
          </cell>
          <cell r="C556" t="str">
            <v>6.01.01.18.001</v>
          </cell>
          <cell r="D556" t="str">
            <v>Insumos de limpieza</v>
          </cell>
          <cell r="E556">
            <v>49991639</v>
          </cell>
        </row>
        <row r="557">
          <cell r="B557" t="str">
            <v>R-</v>
          </cell>
          <cell r="C557" t="str">
            <v>6.01.01.18.002</v>
          </cell>
          <cell r="D557" t="str">
            <v>Insumos de refrigerios, agua, cafe</v>
          </cell>
          <cell r="E557">
            <v>14270269</v>
          </cell>
        </row>
        <row r="558">
          <cell r="B558" t="str">
            <v>R-</v>
          </cell>
          <cell r="C558" t="str">
            <v>6.01.01.18.003</v>
          </cell>
          <cell r="D558" t="str">
            <v>Gastos varios</v>
          </cell>
          <cell r="E558">
            <v>11775690</v>
          </cell>
        </row>
        <row r="559">
          <cell r="B559" t="str">
            <v>R-</v>
          </cell>
          <cell r="C559" t="str">
            <v>6.01.01.18.004</v>
          </cell>
          <cell r="D559" t="str">
            <v>Gastos de insumos menores</v>
          </cell>
          <cell r="E559">
            <v>64353298</v>
          </cell>
        </row>
        <row r="560">
          <cell r="B560" t="str">
            <v>R-</v>
          </cell>
          <cell r="C560" t="str">
            <v>6.01.01.18.005</v>
          </cell>
          <cell r="D560" t="str">
            <v>Insumos produccion</v>
          </cell>
          <cell r="E560">
            <v>358687420</v>
          </cell>
        </row>
        <row r="561">
          <cell r="B561" t="str">
            <v>R-</v>
          </cell>
          <cell r="C561" t="str">
            <v>6.01.01.18.006</v>
          </cell>
          <cell r="D561" t="str">
            <v>Donaciones</v>
          </cell>
          <cell r="E561">
            <v>43865078</v>
          </cell>
        </row>
        <row r="562">
          <cell r="B562" t="str">
            <v>R-</v>
          </cell>
          <cell r="C562" t="str">
            <v>6.01.01.18.007</v>
          </cell>
          <cell r="D562" t="str">
            <v>Contingencia COVID-19</v>
          </cell>
          <cell r="E562">
            <v>19527504</v>
          </cell>
        </row>
        <row r="563">
          <cell r="B563"/>
          <cell r="C563" t="str">
            <v>6.01.01.19</v>
          </cell>
          <cell r="D563" t="str">
            <v>IMPUESTOS Y TASAS</v>
          </cell>
          <cell r="E563">
            <v>419122345</v>
          </cell>
        </row>
        <row r="564">
          <cell r="B564" t="str">
            <v>R-</v>
          </cell>
          <cell r="C564" t="str">
            <v>6.01.01.19.001</v>
          </cell>
          <cell r="D564" t="str">
            <v>Patente comercial</v>
          </cell>
          <cell r="E564">
            <v>245586324</v>
          </cell>
        </row>
        <row r="565">
          <cell r="B565" t="str">
            <v>R-</v>
          </cell>
          <cell r="C565" t="str">
            <v>6.01.01.19.003</v>
          </cell>
          <cell r="D565" t="str">
            <v>IVA gasto no deducible</v>
          </cell>
          <cell r="E565">
            <v>0</v>
          </cell>
        </row>
        <row r="566">
          <cell r="B566" t="str">
            <v>R-</v>
          </cell>
          <cell r="C566" t="str">
            <v>6.01.01.19.004</v>
          </cell>
          <cell r="D566" t="str">
            <v>Impuestos inmobiliarios</v>
          </cell>
          <cell r="E566">
            <v>39359072</v>
          </cell>
        </row>
        <row r="567">
          <cell r="B567" t="str">
            <v>R-</v>
          </cell>
          <cell r="C567" t="str">
            <v>6.01.01.19.005</v>
          </cell>
          <cell r="D567" t="str">
            <v>Otras tasas y contribuciones</v>
          </cell>
          <cell r="E567">
            <v>8907633</v>
          </cell>
        </row>
        <row r="568">
          <cell r="B568" t="str">
            <v>R-</v>
          </cell>
          <cell r="C568" t="str">
            <v>6.01.01.19.006</v>
          </cell>
          <cell r="D568" t="str">
            <v>Otros impuestos</v>
          </cell>
          <cell r="E568">
            <v>2151000</v>
          </cell>
        </row>
        <row r="569">
          <cell r="B569" t="str">
            <v>R-</v>
          </cell>
          <cell r="C569" t="str">
            <v>6.01.01.19.007</v>
          </cell>
          <cell r="D569" t="str">
            <v>Retencion impuesto a la renta</v>
          </cell>
          <cell r="E569">
            <v>123118316</v>
          </cell>
        </row>
        <row r="570">
          <cell r="B570" t="str">
            <v>R-</v>
          </cell>
          <cell r="C570" t="str">
            <v>6.01.01.19.008</v>
          </cell>
          <cell r="D570" t="str">
            <v>Gastos Aranceles</v>
          </cell>
        </row>
        <row r="571">
          <cell r="B571"/>
          <cell r="C571" t="str">
            <v>6.01.01.20</v>
          </cell>
          <cell r="D571" t="str">
            <v>CUENTAS DE APLICACION DE GASTOS PRODUCCION</v>
          </cell>
          <cell r="E571">
            <v>0</v>
          </cell>
        </row>
        <row r="572">
          <cell r="B572" t="str">
            <v>R-</v>
          </cell>
          <cell r="C572" t="str">
            <v>6.01.01.20.001</v>
          </cell>
          <cell r="D572" t="str">
            <v>Aplicaci¢n sueldos, cargas y gastos produccion</v>
          </cell>
          <cell r="E572">
            <v>0</v>
          </cell>
        </row>
        <row r="573">
          <cell r="B573"/>
          <cell r="C573" t="str">
            <v>6.01.02</v>
          </cell>
          <cell r="D573" t="str">
            <v>PREVISIONES</v>
          </cell>
          <cell r="E573">
            <v>0</v>
          </cell>
        </row>
        <row r="574">
          <cell r="B574"/>
          <cell r="C574" t="str">
            <v>6.01.02.01</v>
          </cell>
          <cell r="D574" t="str">
            <v>PREVISIONES</v>
          </cell>
          <cell r="E574">
            <v>0</v>
          </cell>
        </row>
        <row r="575">
          <cell r="B575"/>
          <cell r="C575" t="str">
            <v>6.01.03</v>
          </cell>
          <cell r="D575" t="str">
            <v>DEPRECIACIONES</v>
          </cell>
          <cell r="E575">
            <v>7272182025</v>
          </cell>
        </row>
        <row r="576">
          <cell r="B576"/>
          <cell r="C576" t="str">
            <v>6.01.03.01</v>
          </cell>
          <cell r="D576" t="str">
            <v>DEPRECIACIONES DEL EJERCICIO</v>
          </cell>
          <cell r="E576">
            <v>7272182025</v>
          </cell>
        </row>
        <row r="577">
          <cell r="B577" t="str">
            <v>R-</v>
          </cell>
          <cell r="C577" t="str">
            <v>6.01.03.01.001</v>
          </cell>
          <cell r="D577" t="str">
            <v>Depreciacion edificio</v>
          </cell>
          <cell r="E577">
            <v>1556609430</v>
          </cell>
        </row>
        <row r="578">
          <cell r="B578" t="str">
            <v>R-</v>
          </cell>
          <cell r="C578" t="str">
            <v>6.01.03.01.002</v>
          </cell>
          <cell r="D578" t="str">
            <v>Depreciacion rodados</v>
          </cell>
          <cell r="E578">
            <v>270742846</v>
          </cell>
        </row>
        <row r="579">
          <cell r="B579" t="str">
            <v>R-</v>
          </cell>
          <cell r="C579" t="str">
            <v>6.01.03.01.004</v>
          </cell>
          <cell r="D579" t="str">
            <v>Depreciacion maquinarias y equipos de planta</v>
          </cell>
          <cell r="E579">
            <v>4575780493</v>
          </cell>
        </row>
        <row r="580">
          <cell r="B580" t="str">
            <v>R-</v>
          </cell>
          <cell r="C580" t="str">
            <v>6.01.03.01.005</v>
          </cell>
          <cell r="D580" t="str">
            <v>Depreciacion instalaciones</v>
          </cell>
          <cell r="E580">
            <v>137709328</v>
          </cell>
        </row>
        <row r="581">
          <cell r="B581" t="str">
            <v>R-</v>
          </cell>
          <cell r="C581" t="str">
            <v>6.01.03.01.003</v>
          </cell>
          <cell r="D581" t="str">
            <v>Depreciacion muebles y utiles</v>
          </cell>
          <cell r="E581">
            <v>243656237</v>
          </cell>
        </row>
        <row r="582">
          <cell r="B582" t="str">
            <v>R-</v>
          </cell>
          <cell r="C582" t="str">
            <v>6.01.03.01.006</v>
          </cell>
          <cell r="D582" t="str">
            <v>Depreciacion equipos informaticos</v>
          </cell>
          <cell r="E582">
            <v>415817336</v>
          </cell>
        </row>
        <row r="583">
          <cell r="B583" t="str">
            <v>R-</v>
          </cell>
          <cell r="C583" t="str">
            <v>6.01.03.01.007</v>
          </cell>
          <cell r="D583" t="str">
            <v>Depreciacion en mejoras en predio ajeno</v>
          </cell>
          <cell r="E583">
            <v>28886610</v>
          </cell>
        </row>
        <row r="584">
          <cell r="B584" t="str">
            <v>R-</v>
          </cell>
          <cell r="C584" t="str">
            <v>6.01.03.01.008</v>
          </cell>
          <cell r="D584" t="str">
            <v>Depreciacion herramientas y equipos</v>
          </cell>
          <cell r="E584">
            <v>42979745</v>
          </cell>
        </row>
        <row r="585">
          <cell r="B585" t="str">
            <v>R-</v>
          </cell>
          <cell r="C585" t="str">
            <v>6.01.03.01.009</v>
          </cell>
          <cell r="D585" t="str">
            <v>Depreciacion licencias informaticas</v>
          </cell>
          <cell r="E585">
            <v>0</v>
          </cell>
        </row>
        <row r="586">
          <cell r="B586"/>
          <cell r="C586" t="str">
            <v>7.01</v>
          </cell>
          <cell r="D586" t="str">
            <v>INGRESOS NO OPERATIVOS</v>
          </cell>
          <cell r="E586">
            <v>-9968148167</v>
          </cell>
        </row>
        <row r="587">
          <cell r="B587"/>
          <cell r="C587" t="str">
            <v>7.01.01</v>
          </cell>
          <cell r="D587" t="str">
            <v>OTROS INGRESOS</v>
          </cell>
          <cell r="E587">
            <v>-9968148167</v>
          </cell>
        </row>
        <row r="588">
          <cell r="B588"/>
          <cell r="C588" t="str">
            <v>7.01.01.01</v>
          </cell>
          <cell r="D588" t="str">
            <v>INGRESOS FINANCIEROS</v>
          </cell>
          <cell r="E588">
            <v>-7730126710</v>
          </cell>
        </row>
        <row r="589">
          <cell r="B589" t="str">
            <v>R+</v>
          </cell>
          <cell r="C589" t="str">
            <v>7.01.01.01.001</v>
          </cell>
          <cell r="D589" t="str">
            <v>Intereses bancarios cobrados</v>
          </cell>
          <cell r="E589">
            <v>-553343332</v>
          </cell>
        </row>
        <row r="590">
          <cell r="B590" t="str">
            <v>R+</v>
          </cell>
          <cell r="C590" t="str">
            <v>7.01.01.01.002</v>
          </cell>
          <cell r="D590" t="str">
            <v>Intereses cobrados</v>
          </cell>
          <cell r="E590">
            <v>-2604543</v>
          </cell>
        </row>
        <row r="591">
          <cell r="B591" t="str">
            <v>R+</v>
          </cell>
          <cell r="C591" t="str">
            <v>7.01.01.01.003</v>
          </cell>
          <cell r="D591" t="str">
            <v>Sobrante de caja</v>
          </cell>
          <cell r="E591">
            <v>-55001</v>
          </cell>
        </row>
        <row r="592">
          <cell r="B592" t="str">
            <v>R+</v>
          </cell>
          <cell r="C592" t="str">
            <v>7.01.01.01.004</v>
          </cell>
          <cell r="D592" t="str">
            <v>Resultado por diferencia de cambio ganancia</v>
          </cell>
          <cell r="E592">
            <v>-6392935159</v>
          </cell>
        </row>
        <row r="593">
          <cell r="B593" t="str">
            <v>R+</v>
          </cell>
          <cell r="C593" t="str">
            <v>7.01.01.01.005</v>
          </cell>
          <cell r="D593" t="str">
            <v>Resultado por movimiento de caja ingreso</v>
          </cell>
          <cell r="E593">
            <v>-781188675</v>
          </cell>
        </row>
        <row r="594">
          <cell r="B594"/>
          <cell r="C594" t="str">
            <v>7.01.01.02</v>
          </cell>
          <cell r="D594" t="str">
            <v>INGRESO VENTA DE ACTIVOS FIJOS</v>
          </cell>
          <cell r="E594">
            <v>-142533571</v>
          </cell>
        </row>
        <row r="595">
          <cell r="B595" t="str">
            <v>R+</v>
          </cell>
          <cell r="C595" t="str">
            <v>7.01.01.02.001</v>
          </cell>
          <cell r="D595" t="str">
            <v>Venta de Activo fijo</v>
          </cell>
          <cell r="E595">
            <v>-142533571</v>
          </cell>
        </row>
        <row r="596">
          <cell r="B596"/>
          <cell r="C596" t="str">
            <v>7.01.01.03</v>
          </cell>
          <cell r="D596" t="str">
            <v>OTROS INGRESOS</v>
          </cell>
          <cell r="E596">
            <v>-2203354529</v>
          </cell>
        </row>
        <row r="597">
          <cell r="B597" t="str">
            <v>R+</v>
          </cell>
          <cell r="C597" t="str">
            <v>7.01.01.03.005</v>
          </cell>
          <cell r="D597" t="str">
            <v>Recuperos seguros</v>
          </cell>
          <cell r="E597">
            <v>-273953931</v>
          </cell>
        </row>
        <row r="598">
          <cell r="B598" t="str">
            <v>R+</v>
          </cell>
          <cell r="C598" t="str">
            <v>7.01.01.03.001</v>
          </cell>
          <cell r="D598" t="str">
            <v>Ingresos varios</v>
          </cell>
          <cell r="E598">
            <v>-565870323</v>
          </cell>
        </row>
        <row r="599">
          <cell r="B599" t="str">
            <v>R+</v>
          </cell>
          <cell r="C599" t="str">
            <v>7.01.01.03.002</v>
          </cell>
          <cell r="D599" t="str">
            <v>Alquileres cobrados</v>
          </cell>
          <cell r="E599">
            <v>-24961900</v>
          </cell>
        </row>
        <row r="600">
          <cell r="B600" t="str">
            <v>R+</v>
          </cell>
          <cell r="C600" t="str">
            <v>7.01.01.03.003</v>
          </cell>
          <cell r="D600" t="str">
            <v>Cargos administrativos</v>
          </cell>
          <cell r="E600">
            <v>-249559618</v>
          </cell>
        </row>
        <row r="601">
          <cell r="B601" t="str">
            <v>R+</v>
          </cell>
          <cell r="C601" t="str">
            <v>7.01.01.03.006</v>
          </cell>
          <cell r="D601" t="str">
            <v>Cargos administrativos judicial y extra judicial</v>
          </cell>
          <cell r="E601">
            <v>-101034426</v>
          </cell>
        </row>
        <row r="602">
          <cell r="B602" t="str">
            <v>R+</v>
          </cell>
          <cell r="C602" t="str">
            <v>7.01.01.03.007</v>
          </cell>
          <cell r="D602" t="str">
            <v>Ingreso por recupero de gastos</v>
          </cell>
          <cell r="E602">
            <v>-17771475</v>
          </cell>
        </row>
        <row r="603">
          <cell r="B603" t="str">
            <v>R+</v>
          </cell>
          <cell r="C603" t="str">
            <v>7.01.01.03.008</v>
          </cell>
          <cell r="D603" t="str">
            <v>Ingresos por servicios varios</v>
          </cell>
          <cell r="E603">
            <v>-540960000</v>
          </cell>
        </row>
        <row r="604">
          <cell r="B604" t="str">
            <v>R+</v>
          </cell>
          <cell r="C604" t="str">
            <v>7.01.01.03.009</v>
          </cell>
          <cell r="D604" t="str">
            <v>Descuentos obtenidos</v>
          </cell>
          <cell r="E604">
            <v>-429242856</v>
          </cell>
        </row>
        <row r="605">
          <cell r="B605" t="str">
            <v>R+</v>
          </cell>
          <cell r="C605" t="str">
            <v>7.01.01.03.010</v>
          </cell>
          <cell r="D605" t="str">
            <v>Ingresos varios existencias</v>
          </cell>
          <cell r="E605">
            <v>0</v>
          </cell>
        </row>
        <row r="606">
          <cell r="B606" t="str">
            <v>R+</v>
          </cell>
          <cell r="C606" t="str">
            <v>7.01.01.03.011</v>
          </cell>
          <cell r="D606" t="str">
            <v>Diferencia recepcion inventario</v>
          </cell>
          <cell r="E606">
            <v>0</v>
          </cell>
        </row>
        <row r="607">
          <cell r="B607"/>
          <cell r="C607" t="str">
            <v>7.01.01.04</v>
          </cell>
          <cell r="D607" t="str">
            <v>DESCUENTO POR ACUERDO COMERCIAL</v>
          </cell>
          <cell r="E607">
            <v>111063566</v>
          </cell>
        </row>
        <row r="608">
          <cell r="B608" t="str">
            <v>R+</v>
          </cell>
          <cell r="C608" t="str">
            <v>7.01.01.04.001</v>
          </cell>
          <cell r="D608" t="str">
            <v>Descuento por acuerdo comercial</v>
          </cell>
          <cell r="E608">
            <v>111063566</v>
          </cell>
        </row>
        <row r="609">
          <cell r="B609"/>
          <cell r="C609" t="str">
            <v>7.01.01.05</v>
          </cell>
          <cell r="D609" t="str">
            <v>DIFERENCIA DE CONVERSION</v>
          </cell>
          <cell r="E609">
            <v>-3196923</v>
          </cell>
        </row>
        <row r="610">
          <cell r="B610" t="str">
            <v>R+</v>
          </cell>
          <cell r="C610" t="str">
            <v>7.01.01.05.001</v>
          </cell>
          <cell r="D610" t="str">
            <v>Ganancia por diferencia de conversion</v>
          </cell>
          <cell r="E610">
            <v>-3196923</v>
          </cell>
        </row>
        <row r="611">
          <cell r="B611"/>
          <cell r="C611" t="str">
            <v>8.01</v>
          </cell>
          <cell r="D611" t="str">
            <v>GASTOS NO OPERACIONALES</v>
          </cell>
          <cell r="E611">
            <v>9064382959</v>
          </cell>
        </row>
        <row r="612">
          <cell r="B612"/>
          <cell r="C612" t="str">
            <v>8.01.01</v>
          </cell>
          <cell r="D612" t="str">
            <v>GASTOS NO OPERACIONALES</v>
          </cell>
          <cell r="E612">
            <v>9064382959</v>
          </cell>
        </row>
        <row r="613">
          <cell r="B613"/>
          <cell r="C613" t="str">
            <v>8.01.01.01</v>
          </cell>
          <cell r="D613" t="str">
            <v>EGRESOS FINANCIEROS</v>
          </cell>
          <cell r="E613">
            <v>6010129511</v>
          </cell>
        </row>
        <row r="614">
          <cell r="B614" t="str">
            <v>R-</v>
          </cell>
          <cell r="C614" t="str">
            <v>8.01.01.01.001</v>
          </cell>
          <cell r="D614" t="str">
            <v>Intereses bancarios pagados</v>
          </cell>
          <cell r="E614">
            <v>2100322350</v>
          </cell>
        </row>
        <row r="615">
          <cell r="B615" t="str">
            <v>R-</v>
          </cell>
          <cell r="C615" t="str">
            <v>8.01.01.01.003</v>
          </cell>
          <cell r="D615" t="str">
            <v>Faltante de caja</v>
          </cell>
          <cell r="E615">
            <v>2</v>
          </cell>
        </row>
        <row r="616">
          <cell r="B616" t="str">
            <v>R-</v>
          </cell>
          <cell r="C616" t="str">
            <v>8.01.01.01.004</v>
          </cell>
          <cell r="D616" t="str">
            <v>Diferencia de cambio perdida</v>
          </cell>
          <cell r="E616">
            <v>3777801869</v>
          </cell>
        </row>
        <row r="617">
          <cell r="B617" t="str">
            <v>R-</v>
          </cell>
          <cell r="C617" t="str">
            <v>8.01.01.01.005</v>
          </cell>
          <cell r="D617" t="str">
            <v>Comisiones bancarias</v>
          </cell>
          <cell r="E617">
            <v>0</v>
          </cell>
        </row>
        <row r="618">
          <cell r="B618" t="str">
            <v>R-</v>
          </cell>
          <cell r="C618" t="str">
            <v>8.01.01.01.006</v>
          </cell>
          <cell r="D618" t="str">
            <v>Gastos bancarios</v>
          </cell>
          <cell r="E618">
            <v>132005290</v>
          </cell>
        </row>
        <row r="619">
          <cell r="B619" t="str">
            <v>R-</v>
          </cell>
          <cell r="C619" t="str">
            <v>8.01.01.01.007</v>
          </cell>
          <cell r="D619" t="str">
            <v>Intereses Pagados por emision de Bonos</v>
          </cell>
          <cell r="E619">
            <v>0</v>
          </cell>
        </row>
        <row r="620">
          <cell r="B620"/>
          <cell r="C620" t="str">
            <v>8.01.01.02</v>
          </cell>
          <cell r="D620" t="str">
            <v>OTROS EGRESOS</v>
          </cell>
          <cell r="E620">
            <v>1666284968</v>
          </cell>
        </row>
        <row r="621">
          <cell r="B621" t="str">
            <v>R-</v>
          </cell>
          <cell r="C621" t="str">
            <v>8.01.01.02.001</v>
          </cell>
          <cell r="D621" t="str">
            <v>Gastos por cobranzas extrajudiciales</v>
          </cell>
          <cell r="E621">
            <v>50788352</v>
          </cell>
        </row>
        <row r="622">
          <cell r="B622" t="str">
            <v>R-</v>
          </cell>
          <cell r="C622" t="str">
            <v>8.01.01.02.002</v>
          </cell>
          <cell r="D622" t="str">
            <v>Egresos varios</v>
          </cell>
          <cell r="E622">
            <v>1054907496</v>
          </cell>
        </row>
        <row r="623">
          <cell r="B623" t="str">
            <v>R-</v>
          </cell>
          <cell r="C623" t="str">
            <v>8.01.01.02.003</v>
          </cell>
          <cell r="D623" t="str">
            <v>Multas y recargos</v>
          </cell>
          <cell r="E623">
            <v>950012</v>
          </cell>
        </row>
        <row r="624">
          <cell r="B624" t="str">
            <v>R-</v>
          </cell>
          <cell r="C624" t="str">
            <v>8.01.01.02.004</v>
          </cell>
          <cell r="D624" t="str">
            <v>Gastos no deducibles</v>
          </cell>
          <cell r="E624">
            <v>549640698</v>
          </cell>
        </row>
        <row r="625">
          <cell r="B625" t="str">
            <v>R-</v>
          </cell>
          <cell r="C625" t="str">
            <v>8.01.01.02.005</v>
          </cell>
          <cell r="D625" t="str">
            <v>Egresos por Gastos a recuperar</v>
          </cell>
          <cell r="E625">
            <v>9998410</v>
          </cell>
        </row>
        <row r="626">
          <cell r="B626" t="str">
            <v>R-</v>
          </cell>
          <cell r="C626" t="str">
            <v>8.01.01.02.006</v>
          </cell>
          <cell r="D626" t="str">
            <v>Egresos varios existencia</v>
          </cell>
          <cell r="E626">
            <v>0</v>
          </cell>
        </row>
        <row r="627">
          <cell r="B627"/>
          <cell r="C627" t="str">
            <v>8.01.01.03</v>
          </cell>
          <cell r="D627" t="str">
            <v>COSTO DE VENTAS BIENES DE USO</v>
          </cell>
          <cell r="E627">
            <v>153995132</v>
          </cell>
        </row>
        <row r="628">
          <cell r="B628" t="str">
            <v>R-</v>
          </cell>
          <cell r="C628" t="str">
            <v>8.01.01.03.001</v>
          </cell>
          <cell r="D628" t="str">
            <v>Costo de ventas bienes de uso</v>
          </cell>
          <cell r="E628">
            <v>153995132</v>
          </cell>
        </row>
        <row r="629">
          <cell r="B629"/>
          <cell r="C629" t="str">
            <v>8.01.01.04</v>
          </cell>
          <cell r="D629" t="str">
            <v>OTROS RESULTADOS NO OPERATIVOS</v>
          </cell>
          <cell r="E629">
            <v>1233540589</v>
          </cell>
        </row>
        <row r="630">
          <cell r="B630" t="str">
            <v>R-</v>
          </cell>
          <cell r="C630" t="str">
            <v>8.01.01.04.002</v>
          </cell>
          <cell r="D630" t="str">
            <v>Diferencia de inventario mercaderias</v>
          </cell>
          <cell r="E630">
            <v>677135872</v>
          </cell>
        </row>
        <row r="631">
          <cell r="B631" t="str">
            <v>R-</v>
          </cell>
          <cell r="C631" t="str">
            <v>8.01.01.04.004</v>
          </cell>
          <cell r="D631" t="str">
            <v>Prevision por obsolecencias</v>
          </cell>
          <cell r="E631">
            <v>0</v>
          </cell>
        </row>
        <row r="632">
          <cell r="B632" t="str">
            <v>R-</v>
          </cell>
          <cell r="C632" t="str">
            <v>8.01.01.04.006</v>
          </cell>
          <cell r="D632" t="str">
            <v>Diferencia por redondeo</v>
          </cell>
          <cell r="E632">
            <v>761110</v>
          </cell>
        </row>
        <row r="633">
          <cell r="B633" t="str">
            <v>R-</v>
          </cell>
          <cell r="C633" t="str">
            <v>8.01.01.04.007</v>
          </cell>
          <cell r="D633" t="str">
            <v>Diferencia de precio</v>
          </cell>
          <cell r="E633">
            <v>319359</v>
          </cell>
        </row>
        <row r="634">
          <cell r="B634" t="str">
            <v>R-</v>
          </cell>
          <cell r="C634" t="str">
            <v>8.01.01.04.008</v>
          </cell>
          <cell r="D634" t="str">
            <v>Baja de inventario mercaderias obsoletas</v>
          </cell>
          <cell r="E634">
            <v>0</v>
          </cell>
        </row>
        <row r="635">
          <cell r="B635" t="str">
            <v>R-</v>
          </cell>
          <cell r="C635" t="str">
            <v>8.01.01.04.009</v>
          </cell>
          <cell r="D635" t="str">
            <v>Diferencia de cambio movimiento caja</v>
          </cell>
          <cell r="E635">
            <v>257510672</v>
          </cell>
        </row>
        <row r="636">
          <cell r="B636" t="str">
            <v>R-</v>
          </cell>
          <cell r="C636" t="str">
            <v>8.01.01.04.010</v>
          </cell>
          <cell r="D636" t="str">
            <v>Prevision juicios y contingencias</v>
          </cell>
          <cell r="E636">
            <v>45666528</v>
          </cell>
        </row>
        <row r="637">
          <cell r="B637" t="str">
            <v>R-</v>
          </cell>
          <cell r="C637" t="str">
            <v>8.01.01.04.011</v>
          </cell>
          <cell r="D637" t="str">
            <v>Prevision creditos incobrables</v>
          </cell>
          <cell r="E637">
            <v>252147048</v>
          </cell>
        </row>
        <row r="638">
          <cell r="B638"/>
          <cell r="C638" t="str">
            <v>8.01.01.05</v>
          </cell>
          <cell r="D638" t="str">
            <v>DIFERENCIA DE CONVERSION</v>
          </cell>
          <cell r="E638">
            <v>432759</v>
          </cell>
        </row>
        <row r="639">
          <cell r="B639" t="str">
            <v>R-</v>
          </cell>
          <cell r="C639" t="str">
            <v>8.01.01.05.001</v>
          </cell>
          <cell r="D639" t="str">
            <v>Perdida por diferencia de conversion</v>
          </cell>
          <cell r="E639">
            <v>432759</v>
          </cell>
        </row>
        <row r="640">
          <cell r="B640"/>
          <cell r="C640" t="str">
            <v>8.02</v>
          </cell>
          <cell r="D640" t="str">
            <v>IMPUESTO A LA RENTA</v>
          </cell>
          <cell r="E640">
            <v>2157571031</v>
          </cell>
        </row>
        <row r="641">
          <cell r="B641"/>
          <cell r="C641" t="str">
            <v>8.02.01</v>
          </cell>
          <cell r="D641" t="str">
            <v>IMPUESTO A LA RENTA</v>
          </cell>
          <cell r="E641">
            <v>2157571031</v>
          </cell>
        </row>
        <row r="642">
          <cell r="B642"/>
          <cell r="C642" t="str">
            <v>8.02.01.01</v>
          </cell>
          <cell r="D642" t="str">
            <v>IMPUESTO A LA RENTA</v>
          </cell>
          <cell r="E642">
            <v>2157571031</v>
          </cell>
        </row>
        <row r="643">
          <cell r="B643" t="str">
            <v>R-</v>
          </cell>
          <cell r="C643" t="str">
            <v>8.02.01.01.001</v>
          </cell>
          <cell r="D643" t="str">
            <v>Impuesto a la Renta</v>
          </cell>
          <cell r="E643">
            <v>2157571031</v>
          </cell>
        </row>
        <row r="650">
          <cell r="D650" t="str">
            <v>Ecuación Patrimonial</v>
          </cell>
          <cell r="E650">
            <v>44561</v>
          </cell>
        </row>
        <row r="651">
          <cell r="D651" t="str">
            <v>A</v>
          </cell>
          <cell r="E651">
            <v>313513846680</v>
          </cell>
        </row>
        <row r="652">
          <cell r="D652" t="str">
            <v>P</v>
          </cell>
          <cell r="E652">
            <v>-89433231832</v>
          </cell>
        </row>
        <row r="653">
          <cell r="D653" t="str">
            <v>PN</v>
          </cell>
          <cell r="E653">
            <v>-205381851127</v>
          </cell>
        </row>
        <row r="654">
          <cell r="D654" t="str">
            <v>Total</v>
          </cell>
          <cell r="E654">
            <v>18698763721</v>
          </cell>
        </row>
        <row r="655">
          <cell r="D655" t="str">
            <v>R+</v>
          </cell>
          <cell r="E655">
            <v>-193260102881</v>
          </cell>
        </row>
        <row r="656">
          <cell r="D656" t="str">
            <v>R-</v>
          </cell>
          <cell r="E656">
            <v>174561339160</v>
          </cell>
        </row>
        <row r="657">
          <cell r="D657" t="str">
            <v>Total</v>
          </cell>
          <cell r="E657">
            <v>-18698763721</v>
          </cell>
        </row>
        <row r="659">
          <cell r="D659"/>
          <cell r="E659">
            <v>0</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2021"/>
      <sheetName val="EERR"/>
      <sheetName val="ref"/>
      <sheetName val="2022"/>
      <sheetName val="base BG"/>
      <sheetName val="calculo flujo de caja"/>
      <sheetName val="Est Finan"/>
      <sheetName val="Indice"/>
      <sheetName val="BG"/>
      <sheetName val="ER"/>
      <sheetName val="EFE"/>
      <sheetName val="EVPN"/>
      <sheetName val="Nota1"/>
      <sheetName val="Nota 2"/>
      <sheetName val="Nota 3"/>
      <sheetName val="Nota 5"/>
      <sheetName val="Nota 6"/>
      <sheetName val="Nota 7"/>
      <sheetName val="Nota 9"/>
      <sheetName val="Nota 13"/>
      <sheetName val="Nota 14"/>
      <sheetName val="Nota 15"/>
      <sheetName val="Nota 16"/>
      <sheetName val="Nota 17"/>
      <sheetName val="Nota 18"/>
      <sheetName val="Nota 8"/>
      <sheetName val="Nota 19"/>
      <sheetName val="Nota 20"/>
      <sheetName val=" Nota 21"/>
      <sheetName val="Nota 10"/>
      <sheetName val="Nota 12"/>
      <sheetName val="Nota 22"/>
      <sheetName val="Nota 24"/>
      <sheetName val="Nota 23"/>
      <sheetName val="Nota 26"/>
      <sheetName val="Nota 25"/>
      <sheetName val="Nota 27"/>
      <sheetName val="Nota 29"/>
      <sheetName val="Nota 32"/>
      <sheetName val="Nota 35"/>
      <sheetName val="Nota 30"/>
      <sheetName val="Nota 31"/>
      <sheetName val="Nota 33"/>
      <sheetName val="Nota 34"/>
      <sheetName val="Nota 36"/>
      <sheetName val="Nota 37"/>
      <sheetName val="Nota 39"/>
      <sheetName val="Nota 40"/>
      <sheetName val="Base de Monedas"/>
    </sheetNames>
    <sheetDataSet>
      <sheetData sheetId="0">
        <row r="1">
          <cell r="A1" t="str">
            <v>Cuenta de mayor</v>
          </cell>
        </row>
      </sheetData>
      <sheetData sheetId="1" refreshError="1">
        <row r="3">
          <cell r="C3" t="str">
            <v>Cuenta de mayor</v>
          </cell>
          <cell r="D3" t="str">
            <v>Nombre</v>
          </cell>
          <cell r="E3" t="str">
            <v>año 2022</v>
          </cell>
        </row>
        <row r="4">
          <cell r="C4" t="str">
            <v>4.01.01.01.001</v>
          </cell>
          <cell r="D4" t="str">
            <v>Ventas vidrios crudos</v>
          </cell>
          <cell r="E4">
            <v>13919677197</v>
          </cell>
        </row>
        <row r="5">
          <cell r="C5" t="str">
            <v>4.01.01.01.002</v>
          </cell>
          <cell r="D5" t="str">
            <v>Descuentos vidrios crudos</v>
          </cell>
          <cell r="E5">
            <v>0</v>
          </cell>
        </row>
        <row r="6">
          <cell r="C6" t="str">
            <v>4.01.01.01.003</v>
          </cell>
          <cell r="D6" t="str">
            <v>Devolucion de vidrios crudos</v>
          </cell>
          <cell r="E6">
            <v>0</v>
          </cell>
        </row>
        <row r="7">
          <cell r="C7" t="str">
            <v>4.01.01.01.004</v>
          </cell>
          <cell r="D7" t="str">
            <v>Diferencia de precios vidrios crudos</v>
          </cell>
          <cell r="E7">
            <v>-276519594</v>
          </cell>
        </row>
        <row r="8">
          <cell r="C8" t="str">
            <v>4.01.01.02.001</v>
          </cell>
          <cell r="D8" t="str">
            <v>Ventas perfiles</v>
          </cell>
          <cell r="E8">
            <v>22185401796</v>
          </cell>
        </row>
        <row r="9">
          <cell r="C9" t="str">
            <v>4.01.01.02.002</v>
          </cell>
          <cell r="D9" t="str">
            <v>Devolucion de perfiles</v>
          </cell>
          <cell r="E9">
            <v>0</v>
          </cell>
        </row>
        <row r="10">
          <cell r="C10" t="str">
            <v>4.01.01.02.004</v>
          </cell>
          <cell r="D10" t="str">
            <v>Descuentos de perfiles</v>
          </cell>
          <cell r="E10">
            <v>-1304825304</v>
          </cell>
        </row>
        <row r="11">
          <cell r="C11" t="str">
            <v>4.01.01.03.001</v>
          </cell>
          <cell r="D11" t="str">
            <v>Ventas herrajes</v>
          </cell>
          <cell r="E11">
            <v>10020145869</v>
          </cell>
        </row>
        <row r="12">
          <cell r="C12" t="str">
            <v>4.01.01.03.002</v>
          </cell>
          <cell r="D12" t="str">
            <v>Descuentos de herrajes</v>
          </cell>
          <cell r="E12">
            <v>-723375496</v>
          </cell>
        </row>
        <row r="13">
          <cell r="C13" t="str">
            <v>4.01.01.03.003</v>
          </cell>
          <cell r="D13" t="str">
            <v>Devolucion de herrajes</v>
          </cell>
          <cell r="E13">
            <v>0</v>
          </cell>
        </row>
        <row r="14">
          <cell r="C14" t="str">
            <v>4.01.01.04.001</v>
          </cell>
          <cell r="D14" t="str">
            <v>Ventas construccion en seco</v>
          </cell>
          <cell r="E14">
            <v>25204510276</v>
          </cell>
        </row>
        <row r="15">
          <cell r="C15" t="str">
            <v>4.01.01.04.002</v>
          </cell>
          <cell r="D15" t="str">
            <v>Descuentos de construccion en seco</v>
          </cell>
          <cell r="E15">
            <v>-3855253774</v>
          </cell>
        </row>
        <row r="16">
          <cell r="C16" t="str">
            <v>4.01.01.04.003</v>
          </cell>
          <cell r="D16" t="str">
            <v>Devolucion construccion en seco</v>
          </cell>
          <cell r="E16">
            <v>0</v>
          </cell>
        </row>
        <row r="17">
          <cell r="C17" t="str">
            <v>4.01.01.05.001</v>
          </cell>
          <cell r="D17" t="str">
            <v>Ventas carpinteria de aluminio</v>
          </cell>
          <cell r="E17">
            <v>39970512029</v>
          </cell>
        </row>
        <row r="18">
          <cell r="C18" t="str">
            <v>4.01.01.05.002</v>
          </cell>
          <cell r="D18" t="str">
            <v>Descuentos de carpinteria de aluminio</v>
          </cell>
          <cell r="E18">
            <v>0</v>
          </cell>
        </row>
        <row r="19">
          <cell r="C19" t="str">
            <v>4.01.01.05.003</v>
          </cell>
          <cell r="D19" t="str">
            <v>Devolucion carpinteria de aluminio</v>
          </cell>
          <cell r="E19">
            <v>0</v>
          </cell>
        </row>
        <row r="20">
          <cell r="C20" t="str">
            <v>4.01.01.06.001</v>
          </cell>
          <cell r="D20" t="str">
            <v>Ventas siliconas</v>
          </cell>
          <cell r="E20">
            <v>9364288</v>
          </cell>
        </row>
        <row r="21">
          <cell r="C21" t="str">
            <v>4.01.01.06.002</v>
          </cell>
          <cell r="D21" t="str">
            <v>Descuentos de siliconas</v>
          </cell>
          <cell r="E21">
            <v>-452151</v>
          </cell>
        </row>
        <row r="22">
          <cell r="C22" t="str">
            <v>4.01.01.06.003</v>
          </cell>
          <cell r="D22" t="str">
            <v>Devolucion siliconas</v>
          </cell>
          <cell r="E22">
            <v>0</v>
          </cell>
        </row>
        <row r="23">
          <cell r="C23" t="str">
            <v>4.01.01.07.001</v>
          </cell>
          <cell r="D23" t="str">
            <v>Ventas insumos</v>
          </cell>
          <cell r="E23">
            <v>121223833</v>
          </cell>
        </row>
        <row r="24">
          <cell r="C24" t="str">
            <v>4.01.01.07.003</v>
          </cell>
          <cell r="D24" t="str">
            <v>Descuentos de insumos</v>
          </cell>
          <cell r="E24">
            <v>-3251013</v>
          </cell>
        </row>
        <row r="25">
          <cell r="C25" t="str">
            <v>4.01.01.08.001</v>
          </cell>
          <cell r="D25" t="str">
            <v>Ventas divisorias</v>
          </cell>
          <cell r="E25">
            <v>0</v>
          </cell>
        </row>
        <row r="26">
          <cell r="C26" t="str">
            <v>4.01.01.08.002</v>
          </cell>
          <cell r="D26" t="str">
            <v>Devolucion divisorias</v>
          </cell>
          <cell r="E26">
            <v>0</v>
          </cell>
        </row>
        <row r="27">
          <cell r="C27" t="str">
            <v>4.01.01.08.004</v>
          </cell>
          <cell r="D27" t="str">
            <v>Descuentos divisorias</v>
          </cell>
          <cell r="E27">
            <v>0</v>
          </cell>
        </row>
        <row r="28">
          <cell r="C28" t="str">
            <v>4.01.01.09.001</v>
          </cell>
          <cell r="D28" t="str">
            <v>Ventas de productos no conformes</v>
          </cell>
          <cell r="E28">
            <v>0</v>
          </cell>
        </row>
        <row r="29">
          <cell r="C29" t="str">
            <v>4.01.01.09.002</v>
          </cell>
          <cell r="D29" t="str">
            <v>Ventas de equipos para la venta</v>
          </cell>
          <cell r="E29">
            <v>341618406</v>
          </cell>
        </row>
        <row r="30">
          <cell r="C30" t="str">
            <v>4.01.01.09.003</v>
          </cell>
          <cell r="D30" t="str">
            <v>Ventas Marketing</v>
          </cell>
          <cell r="E30">
            <v>35213059</v>
          </cell>
        </row>
        <row r="31">
          <cell r="C31" t="str">
            <v>4.01.01.09.004</v>
          </cell>
          <cell r="D31" t="str">
            <v>Ventas de retazos</v>
          </cell>
          <cell r="E31">
            <v>278587450</v>
          </cell>
        </row>
        <row r="32">
          <cell r="C32" t="str">
            <v>4.01.01.09.005</v>
          </cell>
          <cell r="D32" t="str">
            <v>Ventas de descabezados</v>
          </cell>
          <cell r="E32">
            <v>10506019</v>
          </cell>
        </row>
        <row r="33">
          <cell r="C33" t="str">
            <v>4.01.01.09.006</v>
          </cell>
          <cell r="D33" t="str">
            <v>Ventas de mercaderias importadas</v>
          </cell>
          <cell r="E33">
            <v>6329716636</v>
          </cell>
        </row>
        <row r="34">
          <cell r="C34" t="str">
            <v>4.01.01.09.007</v>
          </cell>
          <cell r="D34" t="str">
            <v>Ventas de mercaderias locales</v>
          </cell>
          <cell r="E34">
            <v>763423953</v>
          </cell>
        </row>
        <row r="35">
          <cell r="C35" t="str">
            <v>4.01.02.01.001</v>
          </cell>
          <cell r="D35" t="str">
            <v>Ventas procesados</v>
          </cell>
          <cell r="E35">
            <v>79322003543</v>
          </cell>
        </row>
        <row r="36">
          <cell r="C36" t="str">
            <v>4.01.02.01.002</v>
          </cell>
          <cell r="D36" t="str">
            <v>Devolucion de procesados</v>
          </cell>
          <cell r="E36">
            <v>0</v>
          </cell>
        </row>
        <row r="37">
          <cell r="C37" t="str">
            <v>4.01.02.01.003</v>
          </cell>
          <cell r="D37" t="str">
            <v>Descuentos de productos procesados</v>
          </cell>
          <cell r="E37">
            <v>-1595518120</v>
          </cell>
        </row>
        <row r="38">
          <cell r="C38" t="str">
            <v>4.01.02.01.005</v>
          </cell>
          <cell r="D38" t="str">
            <v>Ventas de productos estandar</v>
          </cell>
          <cell r="E38">
            <v>2358931868</v>
          </cell>
        </row>
        <row r="39">
          <cell r="C39" t="str">
            <v>4.01.03.01.001</v>
          </cell>
          <cell r="D39" t="str">
            <v>Ventas obras</v>
          </cell>
          <cell r="E39">
            <v>12295946891</v>
          </cell>
        </row>
        <row r="40">
          <cell r="C40" t="str">
            <v>4.01.03.01.002</v>
          </cell>
          <cell r="D40" t="str">
            <v>Devolucion obras</v>
          </cell>
          <cell r="E40">
            <v>0</v>
          </cell>
        </row>
        <row r="41">
          <cell r="C41" t="str">
            <v>4.01.03.01.004</v>
          </cell>
          <cell r="D41" t="str">
            <v>Descuentos obras</v>
          </cell>
          <cell r="E41">
            <v>0</v>
          </cell>
        </row>
        <row r="42">
          <cell r="C42" t="str">
            <v>4.01.04.01.001</v>
          </cell>
          <cell r="D42" t="str">
            <v>Ventas servicios</v>
          </cell>
          <cell r="E42">
            <v>21129176</v>
          </cell>
        </row>
        <row r="43">
          <cell r="C43" t="str">
            <v>4.01.04.01.002</v>
          </cell>
          <cell r="D43" t="str">
            <v>Devolucion ventas servicios</v>
          </cell>
          <cell r="E43">
            <v>0</v>
          </cell>
        </row>
        <row r="44">
          <cell r="C44" t="str">
            <v>4.01.04.01.004</v>
          </cell>
          <cell r="D44" t="str">
            <v>Descuentos ventas servicios</v>
          </cell>
          <cell r="E44">
            <v>-51063556</v>
          </cell>
        </row>
        <row r="45">
          <cell r="C45" t="str">
            <v>4.01.04.01.005</v>
          </cell>
          <cell r="D45" t="str">
            <v>Ventas servicios aereos</v>
          </cell>
          <cell r="E45">
            <v>121932663</v>
          </cell>
        </row>
        <row r="46">
          <cell r="C46" t="str">
            <v>4.01.05.01.001</v>
          </cell>
          <cell r="D46" t="str">
            <v>Venta procesados export</v>
          </cell>
          <cell r="E46">
            <v>392927932</v>
          </cell>
        </row>
        <row r="47">
          <cell r="C47" t="str">
            <v>4.01.05.01.005</v>
          </cell>
          <cell r="D47" t="str">
            <v>Flete exportacion</v>
          </cell>
          <cell r="E47">
            <v>32426780</v>
          </cell>
        </row>
        <row r="48">
          <cell r="C48" t="str">
            <v>4.01.05.01.006</v>
          </cell>
          <cell r="D48" t="str">
            <v>Seguro exportacion</v>
          </cell>
          <cell r="E48">
            <v>5893946</v>
          </cell>
        </row>
        <row r="49">
          <cell r="C49" t="str">
            <v>5.01.01.01.001</v>
          </cell>
          <cell r="D49" t="str">
            <v>Costo vidrios crudos</v>
          </cell>
          <cell r="E49">
            <v>3088384838</v>
          </cell>
        </row>
        <row r="50">
          <cell r="C50" t="str">
            <v>5.01.01.02.001</v>
          </cell>
          <cell r="D50" t="str">
            <v>Costo perfiles</v>
          </cell>
          <cell r="E50">
            <v>-21592761510</v>
          </cell>
        </row>
        <row r="51">
          <cell r="C51" t="str">
            <v>5.01.01.03.001</v>
          </cell>
          <cell r="D51" t="str">
            <v>Costo de ventas herrajes</v>
          </cell>
          <cell r="E51">
            <v>-6462559368</v>
          </cell>
        </row>
        <row r="52">
          <cell r="C52" t="str">
            <v>5.01.01.04.001</v>
          </cell>
          <cell r="D52" t="str">
            <v>Costo de ventas construccion en seco</v>
          </cell>
          <cell r="E52">
            <v>-17130437509</v>
          </cell>
        </row>
        <row r="53">
          <cell r="C53" t="str">
            <v>5.01.01.04.002</v>
          </cell>
          <cell r="D53" t="str">
            <v>Otros costos construccion en seco</v>
          </cell>
          <cell r="E53">
            <v>-1139340</v>
          </cell>
        </row>
        <row r="54">
          <cell r="C54" t="str">
            <v>5.01.01.05.001</v>
          </cell>
          <cell r="D54" t="str">
            <v>Costo de ventas carpinteria de aluminio</v>
          </cell>
          <cell r="E54">
            <v>-32034790516</v>
          </cell>
        </row>
        <row r="55">
          <cell r="C55" t="str">
            <v>5.01.01.06.001</v>
          </cell>
          <cell r="D55" t="str">
            <v>Costo de ventas silicona</v>
          </cell>
          <cell r="E55">
            <v>-6207912</v>
          </cell>
        </row>
        <row r="56">
          <cell r="C56" t="str">
            <v>5.01.01.07.001</v>
          </cell>
          <cell r="D56" t="str">
            <v>Costo de venta insumos</v>
          </cell>
          <cell r="E56">
            <v>-3032422552</v>
          </cell>
        </row>
        <row r="57">
          <cell r="C57" t="str">
            <v>5.01.01.07.002</v>
          </cell>
          <cell r="D57" t="str">
            <v>Otros costos insumos</v>
          </cell>
          <cell r="E57">
            <v>0</v>
          </cell>
        </row>
        <row r="58">
          <cell r="C58" t="str">
            <v>5.01.01.08.001</v>
          </cell>
          <cell r="D58" t="str">
            <v>Costos divisorias</v>
          </cell>
          <cell r="E58">
            <v>0</v>
          </cell>
        </row>
        <row r="59">
          <cell r="C59" t="str">
            <v>5.01.02.01.001</v>
          </cell>
          <cell r="D59" t="str">
            <v>Costos procesados</v>
          </cell>
          <cell r="E59">
            <v>-45260731191</v>
          </cell>
        </row>
        <row r="60">
          <cell r="C60" t="str">
            <v>5.01.02.01.002</v>
          </cell>
          <cell r="D60" t="str">
            <v>Costos de productos estandar</v>
          </cell>
          <cell r="E60">
            <v>-2197998109</v>
          </cell>
        </row>
        <row r="61">
          <cell r="C61" t="str">
            <v>5.01.02.02.001</v>
          </cell>
          <cell r="D61" t="str">
            <v>Costo procesados exportacion</v>
          </cell>
          <cell r="E61">
            <v>-350150397</v>
          </cell>
        </row>
        <row r="62">
          <cell r="C62" t="str">
            <v>5.01.02.02.002</v>
          </cell>
          <cell r="D62" t="str">
            <v>Costos gastos exportacion</v>
          </cell>
          <cell r="E62">
            <v>-41183955</v>
          </cell>
        </row>
        <row r="63">
          <cell r="C63" t="str">
            <v>5.01.03.01.001</v>
          </cell>
          <cell r="D63" t="str">
            <v>Costos de venta MKT</v>
          </cell>
          <cell r="E63">
            <v>-116591392</v>
          </cell>
        </row>
        <row r="64">
          <cell r="C64" t="str">
            <v>5.01.03.01.002</v>
          </cell>
          <cell r="D64" t="str">
            <v>Costos de venta equipos para la venta</v>
          </cell>
          <cell r="E64">
            <v>-186465639</v>
          </cell>
        </row>
        <row r="65">
          <cell r="C65" t="str">
            <v>5.01.03.01.003</v>
          </cell>
          <cell r="D65" t="str">
            <v>Costos productos no conformes</v>
          </cell>
          <cell r="E65">
            <v>0</v>
          </cell>
        </row>
        <row r="66">
          <cell r="C66" t="str">
            <v>5.01.03.01.004</v>
          </cell>
          <cell r="D66" t="str">
            <v>Costos de mercaderias importadas</v>
          </cell>
          <cell r="E66">
            <v>-4487077898</v>
          </cell>
        </row>
        <row r="67">
          <cell r="C67" t="str">
            <v>5.01.03.01.005</v>
          </cell>
          <cell r="D67" t="str">
            <v>Costos de mercaderias locales</v>
          </cell>
          <cell r="E67">
            <v>-601887965</v>
          </cell>
        </row>
        <row r="68">
          <cell r="C68" t="str">
            <v>5.01.03.02.001</v>
          </cell>
          <cell r="D68" t="str">
            <v>Costo de ventas de obras</v>
          </cell>
          <cell r="E68">
            <v>-6683331278</v>
          </cell>
        </row>
        <row r="69">
          <cell r="C69" t="str">
            <v>5.01.03.03.001</v>
          </cell>
          <cell r="D69" t="str">
            <v>Costos de Retazos</v>
          </cell>
          <cell r="E69">
            <v>-200380617</v>
          </cell>
        </row>
        <row r="70">
          <cell r="C70" t="str">
            <v>5.01.03.03.002</v>
          </cell>
          <cell r="D70" t="str">
            <v>Costo de Mermas</v>
          </cell>
          <cell r="E70">
            <v>0</v>
          </cell>
        </row>
        <row r="71">
          <cell r="C71" t="str">
            <v>5.01.03.03.003</v>
          </cell>
          <cell r="D71" t="str">
            <v>Costos saldo Vilux</v>
          </cell>
          <cell r="E71">
            <v>5010396</v>
          </cell>
        </row>
        <row r="72">
          <cell r="C72" t="str">
            <v>5.01.03.03.004</v>
          </cell>
          <cell r="D72" t="str">
            <v>Costos descabezados</v>
          </cell>
          <cell r="E72">
            <v>-4375067</v>
          </cell>
        </row>
        <row r="73">
          <cell r="C73" t="str">
            <v>5.01.03.04.001</v>
          </cell>
          <cell r="D73" t="str">
            <v>Costos de Servicios</v>
          </cell>
          <cell r="E73">
            <v>-17887100</v>
          </cell>
        </row>
        <row r="74">
          <cell r="C74" t="str">
            <v>5.01.03.04.002</v>
          </cell>
          <cell r="D74" t="str">
            <v>Costo de servicios aeronave piloto</v>
          </cell>
          <cell r="E74">
            <v>-19830145</v>
          </cell>
        </row>
        <row r="75">
          <cell r="C75" t="str">
            <v>6.01.01.01.001</v>
          </cell>
          <cell r="D75" t="str">
            <v>Sueldos y Jornales</v>
          </cell>
          <cell r="E75">
            <v>-16372150911</v>
          </cell>
        </row>
        <row r="76">
          <cell r="C76" t="str">
            <v>6.01.01.01.002</v>
          </cell>
          <cell r="D76" t="str">
            <v>Horas Extras</v>
          </cell>
          <cell r="E76">
            <v>-200564153</v>
          </cell>
        </row>
        <row r="77">
          <cell r="C77" t="str">
            <v>6.01.01.01.003</v>
          </cell>
          <cell r="D77" t="str">
            <v>Complemento horario nocturno</v>
          </cell>
          <cell r="E77">
            <v>-93961557</v>
          </cell>
        </row>
        <row r="78">
          <cell r="C78" t="str">
            <v>6.01.01.01.004</v>
          </cell>
          <cell r="D78" t="str">
            <v>Otros beneficios IPS</v>
          </cell>
          <cell r="E78">
            <v>-102903992</v>
          </cell>
        </row>
        <row r="79">
          <cell r="C79" t="str">
            <v>6.01.01.01.005</v>
          </cell>
          <cell r="D79" t="str">
            <v>Comisiones pagadas IPS</v>
          </cell>
          <cell r="E79">
            <v>-760556849</v>
          </cell>
        </row>
        <row r="80">
          <cell r="C80" t="str">
            <v>6.01.01.01.006</v>
          </cell>
          <cell r="D80" t="str">
            <v>Vacaciones</v>
          </cell>
          <cell r="E80">
            <v>-532755170</v>
          </cell>
        </row>
        <row r="81">
          <cell r="C81" t="str">
            <v>6.01.01.01.007</v>
          </cell>
          <cell r="D81" t="str">
            <v>Aguinaldo</v>
          </cell>
          <cell r="E81">
            <v>-1500833675</v>
          </cell>
        </row>
        <row r="82">
          <cell r="C82" t="str">
            <v>6.01.01.01.008</v>
          </cell>
          <cell r="D82" t="str">
            <v>Gratificaciones</v>
          </cell>
          <cell r="E82">
            <v>-150855748</v>
          </cell>
        </row>
        <row r="83">
          <cell r="C83" t="str">
            <v>6.01.01.01.010</v>
          </cell>
          <cell r="D83" t="str">
            <v>Preaviso</v>
          </cell>
          <cell r="E83">
            <v>-92190278</v>
          </cell>
        </row>
        <row r="84">
          <cell r="C84" t="str">
            <v>6.01.01.01.011</v>
          </cell>
          <cell r="D84" t="str">
            <v>Indemnizacion</v>
          </cell>
          <cell r="E84">
            <v>-111995628</v>
          </cell>
        </row>
        <row r="85">
          <cell r="C85" t="str">
            <v>6.01.01.01.012</v>
          </cell>
          <cell r="D85" t="str">
            <v>Aporte Patronal</v>
          </cell>
          <cell r="E85">
            <v>-3044024078</v>
          </cell>
        </row>
        <row r="86">
          <cell r="C86" t="str">
            <v>6.01.01.01.013</v>
          </cell>
          <cell r="D86" t="str">
            <v>Bonificacion Familiar</v>
          </cell>
          <cell r="E86">
            <v>-265132872</v>
          </cell>
        </row>
        <row r="87">
          <cell r="C87" t="str">
            <v>6.01.01.02.001</v>
          </cell>
          <cell r="D87" t="str">
            <v>Servicios personales</v>
          </cell>
          <cell r="E87">
            <v>-1166561640</v>
          </cell>
        </row>
        <row r="88">
          <cell r="C88" t="str">
            <v>6.01.01.02.002</v>
          </cell>
          <cell r="D88" t="str">
            <v>Comisiones pagadas Servicios</v>
          </cell>
          <cell r="E88">
            <v>-162114032</v>
          </cell>
        </row>
        <row r="89">
          <cell r="C89" t="str">
            <v>6.01.01.03.001</v>
          </cell>
          <cell r="D89" t="str">
            <v>Remuneracion Personal Superior</v>
          </cell>
          <cell r="E89">
            <v>-776818190</v>
          </cell>
        </row>
        <row r="90">
          <cell r="C90" t="str">
            <v>6.01.01.04.001</v>
          </cell>
          <cell r="D90" t="str">
            <v>Capacitacion del personal</v>
          </cell>
          <cell r="E90">
            <v>-36093077</v>
          </cell>
        </row>
        <row r="91">
          <cell r="C91" t="str">
            <v>6.01.01.04.003</v>
          </cell>
          <cell r="D91" t="str">
            <v>Seguro Medico</v>
          </cell>
          <cell r="E91">
            <v>-134066424</v>
          </cell>
        </row>
        <row r="92">
          <cell r="C92" t="str">
            <v>6.01.01.04.004</v>
          </cell>
          <cell r="D92" t="str">
            <v>Beneficios almuerzos</v>
          </cell>
          <cell r="E92">
            <v>-685048801</v>
          </cell>
        </row>
        <row r="93">
          <cell r="C93" t="str">
            <v>6.01.01.04.005</v>
          </cell>
          <cell r="D93" t="str">
            <v>Beneficios uniformes</v>
          </cell>
          <cell r="E93">
            <v>-26989268</v>
          </cell>
        </row>
        <row r="94">
          <cell r="C94" t="str">
            <v>6.01.01.04.007</v>
          </cell>
          <cell r="D94" t="str">
            <v>Eventos RRHH</v>
          </cell>
          <cell r="E94">
            <v>-34861885</v>
          </cell>
        </row>
        <row r="95">
          <cell r="C95" t="str">
            <v>6.01.01.04.008</v>
          </cell>
          <cell r="D95" t="str">
            <v>Campa¤as internas RRHH</v>
          </cell>
          <cell r="E95">
            <v>-10580312</v>
          </cell>
        </row>
        <row r="96">
          <cell r="C96" t="str">
            <v>6.01.01.04.009</v>
          </cell>
          <cell r="D96" t="str">
            <v>Busqueda y seleccion de personal</v>
          </cell>
          <cell r="E96">
            <v>-150383892</v>
          </cell>
        </row>
        <row r="97">
          <cell r="C97" t="str">
            <v>6.01.01.04.010</v>
          </cell>
          <cell r="D97" t="str">
            <v>Otros gastos RRHH</v>
          </cell>
          <cell r="E97">
            <v>-15669945</v>
          </cell>
        </row>
        <row r="98">
          <cell r="C98" t="str">
            <v>6.01.01.04.012</v>
          </cell>
          <cell r="D98" t="str">
            <v>Otros Beneficios</v>
          </cell>
          <cell r="E98">
            <v>-117808964</v>
          </cell>
        </row>
        <row r="99">
          <cell r="C99" t="str">
            <v>6.01.01.05.001</v>
          </cell>
          <cell r="D99" t="str">
            <v>Honorarios Auditoria Externa</v>
          </cell>
          <cell r="E99">
            <v>-119464855</v>
          </cell>
        </row>
        <row r="100">
          <cell r="C100" t="str">
            <v>6.01.01.05.002</v>
          </cell>
          <cell r="D100" t="str">
            <v>Honorarios Legales</v>
          </cell>
          <cell r="E100">
            <v>-142916720</v>
          </cell>
        </row>
        <row r="101">
          <cell r="C101" t="str">
            <v>6.01.01.05.003</v>
          </cell>
          <cell r="D101" t="str">
            <v>Honorarios Servicios Asesores</v>
          </cell>
          <cell r="E101">
            <v>-54722608</v>
          </cell>
        </row>
        <row r="102">
          <cell r="C102" t="str">
            <v>6.01.01.05.004</v>
          </cell>
          <cell r="D102" t="str">
            <v>Prestaciones de terceros</v>
          </cell>
          <cell r="E102">
            <v>-734468191</v>
          </cell>
        </row>
        <row r="103">
          <cell r="C103" t="str">
            <v>6.01.01.05.005</v>
          </cell>
          <cell r="D103" t="str">
            <v>Honorarios Sindicos</v>
          </cell>
          <cell r="E103">
            <v>-4400000</v>
          </cell>
        </row>
        <row r="104">
          <cell r="C104" t="str">
            <v>6.01.01.05.006</v>
          </cell>
          <cell r="D104" t="str">
            <v>Honorarios Legales Judiciales</v>
          </cell>
          <cell r="E104">
            <v>-95672677</v>
          </cell>
        </row>
        <row r="105">
          <cell r="C105" t="str">
            <v>6.01.01.05.007</v>
          </cell>
          <cell r="D105" t="str">
            <v>Gastos de Cobranzas Extrajudiciales</v>
          </cell>
          <cell r="E105">
            <v>-22964024</v>
          </cell>
        </row>
        <row r="106">
          <cell r="C106" t="str">
            <v>6.01.01.06.001</v>
          </cell>
          <cell r="D106" t="str">
            <v>Consumo electricidad</v>
          </cell>
          <cell r="E106">
            <v>-2208805777</v>
          </cell>
        </row>
        <row r="107">
          <cell r="C107" t="str">
            <v>6.01.01.06.002</v>
          </cell>
          <cell r="D107" t="str">
            <v>Servicios de comunicaciones</v>
          </cell>
          <cell r="E107">
            <v>-292086888</v>
          </cell>
        </row>
        <row r="108">
          <cell r="C108" t="str">
            <v>6.01.01.06.003</v>
          </cell>
          <cell r="D108" t="str">
            <v>Otros Servicios</v>
          </cell>
          <cell r="E108">
            <v>-57795041</v>
          </cell>
        </row>
        <row r="109">
          <cell r="C109" t="str">
            <v>6.01.01.06.004</v>
          </cell>
          <cell r="D109" t="str">
            <v>Consumo Agua</v>
          </cell>
          <cell r="E109">
            <v>-608858</v>
          </cell>
        </row>
        <row r="110">
          <cell r="C110" t="str">
            <v>6.01.01.07.001</v>
          </cell>
          <cell r="D110" t="str">
            <v>Usufructo de Inmuebles</v>
          </cell>
          <cell r="E110">
            <v>-3502645508</v>
          </cell>
        </row>
        <row r="111">
          <cell r="C111" t="str">
            <v>6.01.01.07.002</v>
          </cell>
          <cell r="D111" t="str">
            <v>Alquileres de Inmuebles</v>
          </cell>
          <cell r="E111">
            <v>-21428570</v>
          </cell>
        </row>
        <row r="112">
          <cell r="C112" t="str">
            <v>6.01.01.07.003</v>
          </cell>
          <cell r="D112" t="str">
            <v>Leasing de Maquinas y Equipos</v>
          </cell>
          <cell r="E112">
            <v>-93052280</v>
          </cell>
        </row>
        <row r="113">
          <cell r="C113" t="str">
            <v>6.01.01.07.005</v>
          </cell>
          <cell r="D113" t="str">
            <v>Otros Alquileres</v>
          </cell>
          <cell r="E113">
            <v>-89028194</v>
          </cell>
        </row>
        <row r="114">
          <cell r="C114" t="str">
            <v>6.01.01.07.006</v>
          </cell>
          <cell r="D114" t="str">
            <v>Alquiler de maquinarias</v>
          </cell>
          <cell r="E114">
            <v>-1870344692</v>
          </cell>
        </row>
        <row r="115">
          <cell r="C115" t="str">
            <v>6.01.01.08.001</v>
          </cell>
          <cell r="D115" t="str">
            <v>Comisiones Tarjeta de credito</v>
          </cell>
          <cell r="E115">
            <v>-177151565</v>
          </cell>
        </row>
        <row r="116">
          <cell r="C116" t="str">
            <v>6.01.01.09.001</v>
          </cell>
          <cell r="D116" t="str">
            <v>Publicidad y Marketing</v>
          </cell>
          <cell r="E116">
            <v>-375661382</v>
          </cell>
        </row>
        <row r="117">
          <cell r="C117" t="str">
            <v>6.01.01.09.002</v>
          </cell>
          <cell r="D117" t="str">
            <v>Auspicios</v>
          </cell>
          <cell r="E117">
            <v>-41265899</v>
          </cell>
        </row>
        <row r="118">
          <cell r="C118" t="str">
            <v>6.01.01.09.003</v>
          </cell>
          <cell r="D118" t="str">
            <v>Eventos MKT</v>
          </cell>
          <cell r="E118">
            <v>-16448287</v>
          </cell>
        </row>
        <row r="119">
          <cell r="C119" t="str">
            <v>6.01.01.09.004</v>
          </cell>
          <cell r="D119" t="str">
            <v>Desarrollos nuevos productos MKT</v>
          </cell>
          <cell r="E119">
            <v>-19770744</v>
          </cell>
        </row>
        <row r="120">
          <cell r="C120" t="str">
            <v>6.01.01.09.006</v>
          </cell>
          <cell r="D120" t="str">
            <v>Servicios de Imprenta</v>
          </cell>
          <cell r="E120">
            <v>-43349995</v>
          </cell>
        </row>
        <row r="121">
          <cell r="C121" t="str">
            <v>6.01.01.09.008</v>
          </cell>
          <cell r="D121" t="str">
            <v>Merchandising</v>
          </cell>
          <cell r="E121">
            <v>-81923587</v>
          </cell>
        </row>
        <row r="122">
          <cell r="C122" t="str">
            <v>6.01.01.09.009</v>
          </cell>
          <cell r="D122" t="str">
            <v>Obsequios otorgados</v>
          </cell>
          <cell r="E122">
            <v>-113623143</v>
          </cell>
        </row>
        <row r="123">
          <cell r="C123" t="str">
            <v>6.01.01.09.010</v>
          </cell>
          <cell r="D123" t="str">
            <v>Gastos Varios MKT</v>
          </cell>
          <cell r="E123">
            <v>-2005111</v>
          </cell>
        </row>
        <row r="124">
          <cell r="C124" t="str">
            <v>6.01.01.09.011</v>
          </cell>
          <cell r="D124" t="str">
            <v>Talleres y entrenamientos MKT</v>
          </cell>
          <cell r="E124">
            <v>0</v>
          </cell>
        </row>
        <row r="125">
          <cell r="C125" t="str">
            <v>6.01.01.09.012</v>
          </cell>
          <cell r="D125" t="str">
            <v>Beneficio a Clientes por Carteles</v>
          </cell>
          <cell r="E125">
            <v>-188513923</v>
          </cell>
        </row>
        <row r="126">
          <cell r="C126" t="str">
            <v>6.01.01.09.013</v>
          </cell>
          <cell r="D126" t="str">
            <v>Eventos Institucionales</v>
          </cell>
          <cell r="E126">
            <v>-1277546</v>
          </cell>
        </row>
        <row r="127">
          <cell r="C127" t="str">
            <v>6.01.01.10.001</v>
          </cell>
          <cell r="D127" t="str">
            <v>Seguros rodados</v>
          </cell>
          <cell r="E127">
            <v>-66344230</v>
          </cell>
        </row>
        <row r="128">
          <cell r="C128" t="str">
            <v>6.01.01.10.002</v>
          </cell>
          <cell r="D128" t="str">
            <v>Seguros patrimoniales</v>
          </cell>
          <cell r="E128">
            <v>-170735491</v>
          </cell>
        </row>
        <row r="129">
          <cell r="C129" t="str">
            <v>6.01.01.10.003</v>
          </cell>
          <cell r="D129" t="str">
            <v>Seguros varios</v>
          </cell>
          <cell r="E129">
            <v>-55094517</v>
          </cell>
        </row>
        <row r="130">
          <cell r="C130" t="str">
            <v>6.01.01.10.004</v>
          </cell>
          <cell r="D130" t="str">
            <v>Seguros mercaderias en transito</v>
          </cell>
          <cell r="E130">
            <v>-11118192</v>
          </cell>
        </row>
        <row r="131">
          <cell r="C131" t="str">
            <v>6.01.01.11.001</v>
          </cell>
          <cell r="D131" t="str">
            <v>Mantenimiento inmuebles y edificios</v>
          </cell>
          <cell r="E131">
            <v>-204041401</v>
          </cell>
        </row>
        <row r="132">
          <cell r="C132" t="str">
            <v>6.01.01.11.002</v>
          </cell>
          <cell r="D132" t="str">
            <v>Mantenimiento automotores</v>
          </cell>
          <cell r="E132">
            <v>-272344657</v>
          </cell>
        </row>
        <row r="133">
          <cell r="C133" t="str">
            <v>6.01.01.11.003</v>
          </cell>
          <cell r="D133" t="str">
            <v>Mantenimiento sistemas</v>
          </cell>
          <cell r="E133">
            <v>-1087287007</v>
          </cell>
        </row>
        <row r="134">
          <cell r="C134" t="str">
            <v>6.01.01.11.004</v>
          </cell>
          <cell r="D134" t="str">
            <v>Mantenimiento muebles y equipos</v>
          </cell>
          <cell r="E134">
            <v>-116214215</v>
          </cell>
        </row>
        <row r="135">
          <cell r="C135" t="str">
            <v>6.01.01.11.005</v>
          </cell>
          <cell r="D135" t="str">
            <v>Gastos de mermas</v>
          </cell>
          <cell r="E135">
            <v>-3406087841</v>
          </cell>
        </row>
        <row r="136">
          <cell r="C136" t="str">
            <v>6.01.01.11.007</v>
          </cell>
          <cell r="D136" t="str">
            <v>Mantenimiento preventivo maquinas y equipos planta</v>
          </cell>
          <cell r="E136">
            <v>-126536280</v>
          </cell>
        </row>
        <row r="137">
          <cell r="C137" t="str">
            <v>6.01.01.11.008</v>
          </cell>
          <cell r="D137" t="str">
            <v>Mantenimiento correctivo maquinas y equipos planta</v>
          </cell>
          <cell r="E137">
            <v>-676258805</v>
          </cell>
        </row>
        <row r="138">
          <cell r="C138" t="str">
            <v>6.01.01.11.009</v>
          </cell>
          <cell r="D138" t="str">
            <v>Herramientas y equipos</v>
          </cell>
          <cell r="E138">
            <v>-25361520</v>
          </cell>
        </row>
        <row r="139">
          <cell r="C139" t="str">
            <v>6.01.01.11.010</v>
          </cell>
          <cell r="D139" t="str">
            <v>Mantenimiento maquinarias</v>
          </cell>
          <cell r="E139">
            <v>-45589151</v>
          </cell>
        </row>
        <row r="140">
          <cell r="C140" t="str">
            <v>6.01.01.11.011</v>
          </cell>
          <cell r="D140" t="str">
            <v>Gastos servicios tecnico tercerizado</v>
          </cell>
          <cell r="E140">
            <v>-118012048</v>
          </cell>
        </row>
        <row r="141">
          <cell r="C141" t="str">
            <v>6.01.01.11.012</v>
          </cell>
          <cell r="D141" t="str">
            <v>Mantenimiento Aeronave</v>
          </cell>
          <cell r="E141">
            <v>-15940045</v>
          </cell>
        </row>
        <row r="142">
          <cell r="C142" t="str">
            <v>6.01.01.11.013</v>
          </cell>
          <cell r="D142" t="str">
            <v>Gastos operativos Aeronave</v>
          </cell>
          <cell r="E142">
            <v>-89374848</v>
          </cell>
        </row>
        <row r="143">
          <cell r="C143" t="str">
            <v>6.01.01.11.014</v>
          </cell>
          <cell r="D143" t="str">
            <v>Gastos combustibles Aeronave</v>
          </cell>
          <cell r="E143">
            <v>-37550850</v>
          </cell>
        </row>
        <row r="144">
          <cell r="C144" t="str">
            <v>6.01.01.12.001</v>
          </cell>
          <cell r="D144" t="str">
            <v>Gastos de movilidad repartos</v>
          </cell>
          <cell r="E144">
            <v>0</v>
          </cell>
        </row>
        <row r="145">
          <cell r="C145" t="str">
            <v>6.01.01.12.002</v>
          </cell>
          <cell r="D145" t="str">
            <v>Gastos de movilidad logistica</v>
          </cell>
          <cell r="E145">
            <v>-1278764232</v>
          </cell>
        </row>
        <row r="146">
          <cell r="C146" t="str">
            <v>6.01.01.12.003</v>
          </cell>
          <cell r="D146" t="str">
            <v>Gastos de distribucion</v>
          </cell>
          <cell r="E146">
            <v>-158646513</v>
          </cell>
        </row>
        <row r="147">
          <cell r="C147" t="str">
            <v>6.01.01.12.004</v>
          </cell>
          <cell r="D147" t="str">
            <v>Gastos de fletes</v>
          </cell>
          <cell r="E147">
            <v>-304788165</v>
          </cell>
        </row>
        <row r="148">
          <cell r="C148" t="str">
            <v>6.01.01.12.005</v>
          </cell>
          <cell r="D148" t="str">
            <v>Leasing rodados</v>
          </cell>
          <cell r="E148">
            <v>-2942067704</v>
          </cell>
        </row>
        <row r="149">
          <cell r="C149" t="str">
            <v>6.01.01.12.006</v>
          </cell>
          <cell r="D149" t="str">
            <v>Gastos de almacenamiento</v>
          </cell>
          <cell r="E149">
            <v>-13967546</v>
          </cell>
        </row>
        <row r="150">
          <cell r="C150" t="str">
            <v>6.01.01.12.007</v>
          </cell>
          <cell r="D150" t="str">
            <v>Gastos de reparto almacenamiento</v>
          </cell>
          <cell r="E150">
            <v>-736902059</v>
          </cell>
        </row>
        <row r="151">
          <cell r="C151" t="str">
            <v>6.01.01.12.008</v>
          </cell>
          <cell r="D151" t="str">
            <v>Gastos de exportacion</v>
          </cell>
          <cell r="E151">
            <v>-3758700</v>
          </cell>
        </row>
        <row r="152">
          <cell r="C152" t="str">
            <v>6.01.01.13.002</v>
          </cell>
          <cell r="D152" t="str">
            <v>Acuerdos comerciales por zona</v>
          </cell>
          <cell r="E152">
            <v>-855091423</v>
          </cell>
        </row>
        <row r="153">
          <cell r="C153" t="str">
            <v>6.01.01.14.001</v>
          </cell>
          <cell r="D153" t="str">
            <v>Insumos de calidad CIPA</v>
          </cell>
          <cell r="E153">
            <v>-66552</v>
          </cell>
        </row>
        <row r="154">
          <cell r="C154" t="str">
            <v>6.01.01.14.002</v>
          </cell>
          <cell r="D154" t="str">
            <v>Insumos de calidad</v>
          </cell>
          <cell r="E154">
            <v>0</v>
          </cell>
        </row>
        <row r="155">
          <cell r="C155" t="str">
            <v>6.01.01.14.003</v>
          </cell>
          <cell r="D155" t="str">
            <v>Equipos de proteccion</v>
          </cell>
          <cell r="E155">
            <v>-41636663</v>
          </cell>
        </row>
        <row r="156">
          <cell r="C156" t="str">
            <v>6.01.01.14.004</v>
          </cell>
          <cell r="D156" t="str">
            <v>Seguridad y vigilancia</v>
          </cell>
          <cell r="E156">
            <v>-546431686</v>
          </cell>
        </row>
        <row r="157">
          <cell r="C157" t="str">
            <v>6.01.01.14.005</v>
          </cell>
          <cell r="D157" t="str">
            <v>Gastos CIPA</v>
          </cell>
          <cell r="E157">
            <v>-26603639</v>
          </cell>
        </row>
        <row r="158">
          <cell r="C158" t="str">
            <v>6.01.01.15.002</v>
          </cell>
          <cell r="D158" t="str">
            <v>Estadias y viaticos</v>
          </cell>
          <cell r="E158">
            <v>-228104557</v>
          </cell>
        </row>
        <row r="159">
          <cell r="C159" t="str">
            <v>6.01.01.15.003</v>
          </cell>
          <cell r="D159" t="str">
            <v>Gastos de movilidad</v>
          </cell>
          <cell r="E159">
            <v>-509125843</v>
          </cell>
        </row>
        <row r="160">
          <cell r="C160" t="str">
            <v>6.01.01.16.001</v>
          </cell>
          <cell r="D160" t="str">
            <v>Utiles de oficina</v>
          </cell>
          <cell r="E160">
            <v>-122054403</v>
          </cell>
        </row>
        <row r="161">
          <cell r="C161" t="str">
            <v>6.01.01.16.002</v>
          </cell>
          <cell r="D161" t="str">
            <v>Publicaciones - Suscripciones</v>
          </cell>
          <cell r="E161">
            <v>-20481477</v>
          </cell>
        </row>
        <row r="162">
          <cell r="C162" t="str">
            <v>6.01.01.17.001</v>
          </cell>
          <cell r="D162" t="str">
            <v>Gastos de representacion local</v>
          </cell>
          <cell r="E162">
            <v>-8998776</v>
          </cell>
        </row>
        <row r="163">
          <cell r="C163" t="str">
            <v>6.01.01.17.002</v>
          </cell>
          <cell r="D163" t="str">
            <v>Gastos de representacion exterior</v>
          </cell>
          <cell r="E163">
            <v>0</v>
          </cell>
        </row>
        <row r="164">
          <cell r="C164" t="str">
            <v>6.01.01.18.001</v>
          </cell>
          <cell r="D164" t="str">
            <v>Insumos de limpieza</v>
          </cell>
          <cell r="E164">
            <v>-93808847</v>
          </cell>
        </row>
        <row r="165">
          <cell r="C165" t="str">
            <v>6.01.01.18.002</v>
          </cell>
          <cell r="D165" t="str">
            <v>Insumos de refrigerios, agua, cafe</v>
          </cell>
          <cell r="E165">
            <v>-14674224</v>
          </cell>
        </row>
        <row r="166">
          <cell r="C166" t="str">
            <v>6.01.01.18.003</v>
          </cell>
          <cell r="D166" t="str">
            <v>Gastos varios</v>
          </cell>
          <cell r="E166">
            <v>-29225410</v>
          </cell>
        </row>
        <row r="167">
          <cell r="C167" t="str">
            <v>6.01.01.18.004</v>
          </cell>
          <cell r="D167" t="str">
            <v>Gastos de insumos menores</v>
          </cell>
          <cell r="E167">
            <v>-918393964</v>
          </cell>
        </row>
        <row r="168">
          <cell r="C168" t="str">
            <v>6.01.01.18.005</v>
          </cell>
          <cell r="D168" t="str">
            <v>Insumos produccion</v>
          </cell>
          <cell r="E168">
            <v>-108615241</v>
          </cell>
        </row>
        <row r="169">
          <cell r="C169" t="str">
            <v>6.01.01.18.006</v>
          </cell>
          <cell r="D169" t="str">
            <v>Donaciones</v>
          </cell>
          <cell r="E169">
            <v>-175009890</v>
          </cell>
        </row>
        <row r="170">
          <cell r="C170" t="str">
            <v>6.01.01.18.007</v>
          </cell>
          <cell r="D170" t="str">
            <v>Contingencia COVID-19</v>
          </cell>
          <cell r="E170">
            <v>-50000</v>
          </cell>
        </row>
        <row r="171">
          <cell r="C171" t="str">
            <v>6.01.01.19.001</v>
          </cell>
          <cell r="D171" t="str">
            <v>Patente comercial</v>
          </cell>
          <cell r="E171">
            <v>-242826324</v>
          </cell>
        </row>
        <row r="172">
          <cell r="C172" t="str">
            <v>6.01.01.19.003</v>
          </cell>
          <cell r="D172" t="str">
            <v>IVA gasto no deducible</v>
          </cell>
          <cell r="E172">
            <v>-3392308</v>
          </cell>
        </row>
        <row r="173">
          <cell r="C173" t="str">
            <v>6.01.01.19.004</v>
          </cell>
          <cell r="D173" t="str">
            <v>Impuestos inmobiliarios</v>
          </cell>
          <cell r="E173">
            <v>-39495592</v>
          </cell>
        </row>
        <row r="174">
          <cell r="C174" t="str">
            <v>6.01.01.19.005</v>
          </cell>
          <cell r="D174" t="str">
            <v>Otras tasas y contribuciones</v>
          </cell>
          <cell r="E174">
            <v>-2171585</v>
          </cell>
        </row>
        <row r="175">
          <cell r="C175" t="str">
            <v>6.01.01.19.006</v>
          </cell>
          <cell r="D175" t="str">
            <v>Otros impuestos</v>
          </cell>
          <cell r="E175">
            <v>-2585420</v>
          </cell>
        </row>
        <row r="176">
          <cell r="C176" t="str">
            <v>6.01.01.19.007</v>
          </cell>
          <cell r="D176" t="str">
            <v>Retencion impuesto a la renta</v>
          </cell>
          <cell r="E176">
            <v>-139490520</v>
          </cell>
        </row>
        <row r="177">
          <cell r="C177" t="str">
            <v>6.01.01.19.008</v>
          </cell>
          <cell r="D177" t="str">
            <v>Gastos Aranceles</v>
          </cell>
          <cell r="E177">
            <v>-8428120</v>
          </cell>
        </row>
        <row r="178">
          <cell r="C178" t="str">
            <v>6.01.01.20.001</v>
          </cell>
          <cell r="D178" t="str">
            <v>Aplicaci¢n sueldos, cargas y gastos produccion</v>
          </cell>
          <cell r="E178">
            <v>3263885637</v>
          </cell>
        </row>
        <row r="179">
          <cell r="C179" t="str">
            <v>6.01.03.01.001</v>
          </cell>
          <cell r="D179" t="str">
            <v>Depreciacion edificio</v>
          </cell>
          <cell r="E179">
            <v>-1964983780</v>
          </cell>
        </row>
        <row r="180">
          <cell r="C180" t="str">
            <v>6.01.03.01.002</v>
          </cell>
          <cell r="D180" t="str">
            <v>Depreciacion rodados</v>
          </cell>
          <cell r="E180">
            <v>-175498333</v>
          </cell>
        </row>
        <row r="181">
          <cell r="C181" t="str">
            <v>6.01.03.01.003</v>
          </cell>
          <cell r="D181" t="str">
            <v>Depreciacion muebles y utiles</v>
          </cell>
          <cell r="E181">
            <v>-200138729</v>
          </cell>
        </row>
        <row r="182">
          <cell r="C182" t="str">
            <v>6.01.03.01.004</v>
          </cell>
          <cell r="D182" t="str">
            <v>Depreciacion maquinarias y equipos de planta</v>
          </cell>
          <cell r="E182">
            <v>-5324461638</v>
          </cell>
        </row>
        <row r="183">
          <cell r="C183" t="str">
            <v>6.01.03.01.005</v>
          </cell>
          <cell r="D183" t="str">
            <v>Depreciacion instalaciones</v>
          </cell>
          <cell r="E183">
            <v>0</v>
          </cell>
        </row>
        <row r="184">
          <cell r="C184" t="str">
            <v>6.01.03.01.006</v>
          </cell>
          <cell r="D184" t="str">
            <v>Depreciacion equipos informaticos</v>
          </cell>
          <cell r="E184">
            <v>-360394817</v>
          </cell>
        </row>
        <row r="185">
          <cell r="C185" t="str">
            <v>6.01.03.01.007</v>
          </cell>
          <cell r="D185" t="str">
            <v>Depreciacion en mejoras en predio ajeno</v>
          </cell>
          <cell r="E185">
            <v>-86808279</v>
          </cell>
        </row>
        <row r="186">
          <cell r="C186" t="str">
            <v>6.01.03.01.008</v>
          </cell>
          <cell r="D186" t="str">
            <v>Depreciacion herramientas y equipos</v>
          </cell>
          <cell r="E186">
            <v>-37164021</v>
          </cell>
        </row>
        <row r="187">
          <cell r="C187" t="str">
            <v>6.01.03.01.009</v>
          </cell>
          <cell r="D187" t="str">
            <v>Depreciacion licencias informaticas</v>
          </cell>
          <cell r="E187">
            <v>-25070424</v>
          </cell>
        </row>
        <row r="188">
          <cell r="C188" t="str">
            <v>7.01.01.01.001</v>
          </cell>
          <cell r="D188" t="str">
            <v>Intereses bancarios cobrados</v>
          </cell>
          <cell r="E188">
            <v>138370109</v>
          </cell>
        </row>
        <row r="189">
          <cell r="C189" t="str">
            <v>7.01.01.01.002</v>
          </cell>
          <cell r="D189" t="str">
            <v>Intereses cobrados</v>
          </cell>
          <cell r="E189">
            <v>5140398</v>
          </cell>
        </row>
        <row r="190">
          <cell r="C190" t="str">
            <v>7.01.01.01.003</v>
          </cell>
          <cell r="D190" t="str">
            <v>Sobrante de caja</v>
          </cell>
          <cell r="E190">
            <v>-330829</v>
          </cell>
        </row>
        <row r="191">
          <cell r="C191" t="str">
            <v>7.01.01.01.004</v>
          </cell>
          <cell r="D191" t="str">
            <v>Resultado por diferencia de cambio ganancia</v>
          </cell>
          <cell r="E191">
            <v>5970935900</v>
          </cell>
        </row>
        <row r="192">
          <cell r="C192" t="str">
            <v>7.01.01.01.005</v>
          </cell>
          <cell r="D192" t="str">
            <v>Resultado por movimiento de caja ingreso</v>
          </cell>
          <cell r="E192">
            <v>1698057033</v>
          </cell>
        </row>
        <row r="193">
          <cell r="C193" t="str">
            <v>7.01.01.02.001</v>
          </cell>
          <cell r="D193" t="str">
            <v>Venta de Activo fijo</v>
          </cell>
          <cell r="E193">
            <v>317584545</v>
          </cell>
        </row>
        <row r="194">
          <cell r="C194" t="str">
            <v>7.01.01.03.001</v>
          </cell>
          <cell r="D194" t="str">
            <v>Ingresos varios</v>
          </cell>
          <cell r="E194">
            <v>3279567807</v>
          </cell>
        </row>
        <row r="195">
          <cell r="C195" t="str">
            <v>7.01.01.03.002</v>
          </cell>
          <cell r="D195" t="str">
            <v>Alquileres cobrados</v>
          </cell>
          <cell r="E195">
            <v>10308250</v>
          </cell>
        </row>
        <row r="196">
          <cell r="C196" t="str">
            <v>7.01.01.03.003</v>
          </cell>
          <cell r="D196" t="str">
            <v>Cargos administrativos</v>
          </cell>
          <cell r="E196">
            <v>379210296</v>
          </cell>
        </row>
        <row r="197">
          <cell r="C197" t="str">
            <v>7.01.01.03.005</v>
          </cell>
          <cell r="D197" t="str">
            <v>Recuperos seguros</v>
          </cell>
          <cell r="E197">
            <v>-35059754</v>
          </cell>
        </row>
        <row r="198">
          <cell r="C198" t="str">
            <v>7.01.01.03.006</v>
          </cell>
          <cell r="D198" t="str">
            <v>Cargos administrativos judicial y extra judicial</v>
          </cell>
          <cell r="E198">
            <v>38226801</v>
          </cell>
        </row>
        <row r="199">
          <cell r="C199" t="str">
            <v>7.01.01.03.007</v>
          </cell>
          <cell r="D199" t="str">
            <v>Ingreso por recupero de gastos</v>
          </cell>
          <cell r="E199">
            <v>26800453</v>
          </cell>
        </row>
        <row r="200">
          <cell r="C200" t="str">
            <v>7.01.01.03.008</v>
          </cell>
          <cell r="D200" t="str">
            <v>Ingresos por servicios varios</v>
          </cell>
          <cell r="E200">
            <v>1898674253</v>
          </cell>
        </row>
        <row r="201">
          <cell r="C201" t="str">
            <v>7.01.01.03.009</v>
          </cell>
          <cell r="D201" t="str">
            <v>Descuentos obtenidos</v>
          </cell>
          <cell r="E201">
            <v>1007124168</v>
          </cell>
        </row>
        <row r="202">
          <cell r="C202" t="str">
            <v>7.01.01.03.010</v>
          </cell>
          <cell r="D202" t="str">
            <v>Ingresos varios existencias</v>
          </cell>
          <cell r="E202">
            <v>712198176</v>
          </cell>
        </row>
        <row r="203">
          <cell r="C203" t="str">
            <v>7.01.01.03.011</v>
          </cell>
          <cell r="D203" t="str">
            <v>Diferencia recepcion inventario</v>
          </cell>
          <cell r="E203">
            <v>614249</v>
          </cell>
        </row>
        <row r="204">
          <cell r="C204" t="str">
            <v>7.01.01.04.001</v>
          </cell>
          <cell r="D204" t="str">
            <v>Descuento por acuerdo comercial</v>
          </cell>
          <cell r="E204">
            <v>-135791095</v>
          </cell>
        </row>
        <row r="205">
          <cell r="C205" t="str">
            <v>7.01.01.05.001</v>
          </cell>
          <cell r="D205" t="str">
            <v>Ganancia por diferencia de conversion</v>
          </cell>
          <cell r="E205">
            <v>24570058</v>
          </cell>
        </row>
        <row r="206">
          <cell r="C206" t="str">
            <v>8.01.01.01.001</v>
          </cell>
          <cell r="D206" t="str">
            <v>Intereses bancarios pagados</v>
          </cell>
          <cell r="E206">
            <v>-4302425548</v>
          </cell>
        </row>
        <row r="207">
          <cell r="C207" t="str">
            <v>8.01.01.01.003</v>
          </cell>
          <cell r="D207" t="str">
            <v>Faltante de caja</v>
          </cell>
          <cell r="E207">
            <v>0</v>
          </cell>
        </row>
        <row r="208">
          <cell r="C208" t="str">
            <v>8.01.01.01.004</v>
          </cell>
          <cell r="D208" t="str">
            <v>Diferencia de cambio perdida</v>
          </cell>
          <cell r="E208">
            <v>-8323691912</v>
          </cell>
        </row>
        <row r="209">
          <cell r="C209" t="str">
            <v>8.01.01.01.005</v>
          </cell>
          <cell r="D209" t="str">
            <v>Comisiones bancarias</v>
          </cell>
          <cell r="E209">
            <v>-24000</v>
          </cell>
        </row>
        <row r="210">
          <cell r="C210" t="str">
            <v>8.01.01.01.006</v>
          </cell>
          <cell r="D210" t="str">
            <v>Gastos bancarios</v>
          </cell>
          <cell r="E210">
            <v>-591002762</v>
          </cell>
        </row>
        <row r="211">
          <cell r="C211" t="str">
            <v>8.01.01.01.007</v>
          </cell>
          <cell r="D211" t="str">
            <v>Intereses Pagados por emision de Bonos</v>
          </cell>
          <cell r="E211">
            <v>-485603406</v>
          </cell>
        </row>
        <row r="212">
          <cell r="C212" t="str">
            <v>8.01.01.02.001</v>
          </cell>
          <cell r="D212" t="str">
            <v>Gastos por cobranzas extrajudiciales</v>
          </cell>
          <cell r="E212">
            <v>-184791</v>
          </cell>
        </row>
        <row r="213">
          <cell r="C213" t="str">
            <v>8.01.01.02.002</v>
          </cell>
          <cell r="D213" t="str">
            <v>Egresos varios</v>
          </cell>
          <cell r="E213">
            <v>-2021886365</v>
          </cell>
        </row>
        <row r="214">
          <cell r="C214" t="str">
            <v>8.01.01.02.003</v>
          </cell>
          <cell r="D214" t="str">
            <v>Multas y recargos</v>
          </cell>
          <cell r="E214">
            <v>0</v>
          </cell>
        </row>
        <row r="215">
          <cell r="C215" t="str">
            <v>8.01.01.02.004</v>
          </cell>
          <cell r="D215" t="str">
            <v>Gastos no deducibles</v>
          </cell>
          <cell r="E215">
            <v>-327396890</v>
          </cell>
        </row>
        <row r="216">
          <cell r="C216" t="str">
            <v>8.01.01.02.005</v>
          </cell>
          <cell r="D216" t="str">
            <v>Egresos por Gastos a recuperar</v>
          </cell>
          <cell r="E216">
            <v>0</v>
          </cell>
        </row>
        <row r="217">
          <cell r="C217" t="str">
            <v>8.01.01.02.006</v>
          </cell>
          <cell r="D217" t="str">
            <v>Egresos varios existencia</v>
          </cell>
          <cell r="E217">
            <v>-1486256069</v>
          </cell>
        </row>
        <row r="218">
          <cell r="C218" t="str">
            <v>8.01.01.03.001</v>
          </cell>
          <cell r="D218" t="str">
            <v>Costo de ventas bienes de uso</v>
          </cell>
          <cell r="E218">
            <v>0</v>
          </cell>
        </row>
        <row r="219">
          <cell r="C219" t="str">
            <v>8.01.01.04.002</v>
          </cell>
          <cell r="D219" t="str">
            <v>Diferencia de inventario mercaderias</v>
          </cell>
          <cell r="E219">
            <v>-1287134731</v>
          </cell>
        </row>
        <row r="220">
          <cell r="C220" t="str">
            <v>8.01.01.04.004</v>
          </cell>
          <cell r="D220" t="str">
            <v>Prevision por obsolecencias</v>
          </cell>
          <cell r="E220">
            <v>-6271717</v>
          </cell>
        </row>
        <row r="221">
          <cell r="C221" t="str">
            <v>8.01.01.04.006</v>
          </cell>
          <cell r="D221" t="str">
            <v>Diferencia por redondeo</v>
          </cell>
          <cell r="E221">
            <v>-291046</v>
          </cell>
        </row>
        <row r="222">
          <cell r="C222" t="str">
            <v>8.01.01.04.007</v>
          </cell>
          <cell r="D222" t="str">
            <v>Diferencia de precio</v>
          </cell>
          <cell r="E222">
            <v>315146</v>
          </cell>
        </row>
        <row r="223">
          <cell r="C223" t="str">
            <v>8.01.01.04.008</v>
          </cell>
          <cell r="D223" t="str">
            <v>Baja de inventario mercaderias obsoletas</v>
          </cell>
          <cell r="E223">
            <v>-33983337</v>
          </cell>
        </row>
        <row r="224">
          <cell r="C224" t="str">
            <v>8.01.01.04.009</v>
          </cell>
          <cell r="D224" t="str">
            <v>Diferencia de cambio movimiento caja</v>
          </cell>
          <cell r="E224">
            <v>-24199967</v>
          </cell>
        </row>
        <row r="225">
          <cell r="C225" t="str">
            <v>8.01.01.04.010</v>
          </cell>
          <cell r="D225" t="str">
            <v>Prevision juicios y contingencias</v>
          </cell>
          <cell r="E225">
            <v>0</v>
          </cell>
        </row>
        <row r="226">
          <cell r="C226" t="str">
            <v>8.01.01.04.011</v>
          </cell>
          <cell r="D226" t="str">
            <v>Prevision creditos incobrables</v>
          </cell>
          <cell r="E226">
            <v>-550425101</v>
          </cell>
        </row>
        <row r="227">
          <cell r="C227" t="str">
            <v>8.01.01.05.001</v>
          </cell>
          <cell r="D227" t="str">
            <v>Perdida por diferencia de conversion</v>
          </cell>
          <cell r="E227">
            <v>204983</v>
          </cell>
        </row>
        <row r="228">
          <cell r="C228" t="str">
            <v>8.02.01.01.001</v>
          </cell>
          <cell r="D228" t="str">
            <v>Impuesto a la Renta</v>
          </cell>
          <cell r="E228">
            <v>-846739433</v>
          </cell>
        </row>
        <row r="229">
          <cell r="C229"/>
          <cell r="D229"/>
          <cell r="E229"/>
        </row>
        <row r="231">
          <cell r="D231" t="str">
            <v>Totales</v>
          </cell>
          <cell r="E231">
            <v>5718723977</v>
          </cell>
        </row>
        <row r="233">
          <cell r="D233" t="str">
            <v>ventas</v>
          </cell>
          <cell r="E233">
            <v>205930834602</v>
          </cell>
        </row>
        <row r="235">
          <cell r="E235">
            <v>5718723.977</v>
          </cell>
        </row>
      </sheetData>
      <sheetData sheetId="2" refreshError="1"/>
      <sheetData sheetId="3" refreshError="1">
        <row r="178">
          <cell r="E178">
            <v>5718723977</v>
          </cell>
        </row>
      </sheetData>
      <sheetData sheetId="4" refreshError="1">
        <row r="2">
          <cell r="C2" t="str">
            <v>Cuenta de mayor</v>
          </cell>
          <cell r="D2" t="str">
            <v>Nombre</v>
          </cell>
          <cell r="E2">
            <v>2022</v>
          </cell>
        </row>
        <row r="3">
          <cell r="C3" t="str">
            <v>1.01.01.01.001</v>
          </cell>
          <cell r="D3" t="str">
            <v>Caja Central Guaranies</v>
          </cell>
          <cell r="E3">
            <v>882623</v>
          </cell>
        </row>
        <row r="4">
          <cell r="C4" t="str">
            <v>1.01.01.01.002</v>
          </cell>
          <cell r="D4" t="str">
            <v>Caja Central Dólares Fdo</v>
          </cell>
          <cell r="E4">
            <v>286070992</v>
          </cell>
        </row>
        <row r="5">
          <cell r="C5" t="str">
            <v>1.01.01.01.007</v>
          </cell>
          <cell r="D5" t="str">
            <v>Caja Central Dólares Pjc</v>
          </cell>
          <cell r="E5">
            <v>131314462</v>
          </cell>
        </row>
        <row r="6">
          <cell r="C6" t="str">
            <v>1.01.01.01.004</v>
          </cell>
          <cell r="D6" t="str">
            <v>Caja Central Reales Fdo</v>
          </cell>
          <cell r="E6">
            <v>85465431</v>
          </cell>
        </row>
        <row r="7">
          <cell r="C7" t="str">
            <v>1.01.01.01.006</v>
          </cell>
          <cell r="D7" t="str">
            <v>Caja Central Reales Pjc</v>
          </cell>
          <cell r="E7">
            <v>89366280</v>
          </cell>
        </row>
        <row r="8">
          <cell r="C8" t="str">
            <v>1.01.01.01.005</v>
          </cell>
          <cell r="D8" t="str">
            <v>Caja Central Euros</v>
          </cell>
          <cell r="E8">
            <v>13291964</v>
          </cell>
        </row>
        <row r="9">
          <cell r="C9" t="str">
            <v>1.01.01.02.001</v>
          </cell>
          <cell r="D9" t="str">
            <v>Recaudaciones a depositar Gs</v>
          </cell>
          <cell r="E9">
            <v>772834880</v>
          </cell>
        </row>
        <row r="10">
          <cell r="C10" t="str">
            <v>1.01.01.02.002</v>
          </cell>
          <cell r="D10" t="str">
            <v>Recaudaciones a depositar Usd.</v>
          </cell>
          <cell r="E10">
            <v>267799185</v>
          </cell>
        </row>
        <row r="11">
          <cell r="C11" t="str">
            <v>1.01.01.03.001</v>
          </cell>
          <cell r="D11" t="str">
            <v>Fondo Fijo Insumos FDO</v>
          </cell>
          <cell r="E11">
            <v>8000003</v>
          </cell>
        </row>
        <row r="12">
          <cell r="C12" t="str">
            <v>1.01.01.03.002</v>
          </cell>
          <cell r="D12" t="str">
            <v>Fondo Fijo Logistica FDO</v>
          </cell>
          <cell r="E12">
            <v>10000000</v>
          </cell>
        </row>
        <row r="13">
          <cell r="C13" t="str">
            <v>1.01.01.03.003</v>
          </cell>
          <cell r="D13" t="str">
            <v>Fondo Fijo Finanzas ENC</v>
          </cell>
          <cell r="E13">
            <v>4000000</v>
          </cell>
        </row>
        <row r="14">
          <cell r="C14" t="str">
            <v>1.01.01.03.004</v>
          </cell>
          <cell r="D14" t="str">
            <v>Fondo Fijo Finanzas FDO</v>
          </cell>
          <cell r="E14">
            <v>5000000</v>
          </cell>
        </row>
        <row r="15">
          <cell r="C15" t="str">
            <v>1.01.01.03.005</v>
          </cell>
          <cell r="D15" t="str">
            <v>Fondo Fijo Logistica MG</v>
          </cell>
          <cell r="E15">
            <v>6000000</v>
          </cell>
        </row>
        <row r="16">
          <cell r="C16" t="str">
            <v>1.01.01.03.007</v>
          </cell>
          <cell r="D16" t="str">
            <v>Fondo Fijo Logistica ENC</v>
          </cell>
          <cell r="E16">
            <v>5000000</v>
          </cell>
        </row>
        <row r="17">
          <cell r="C17" t="str">
            <v>1.01.01.03.008</v>
          </cell>
          <cell r="D17" t="str">
            <v>Fondo Fijo Planta Central y Villeta FDO</v>
          </cell>
          <cell r="E17">
            <v>0</v>
          </cell>
        </row>
        <row r="18">
          <cell r="C18" t="str">
            <v>1.01.01.03.009</v>
          </cell>
          <cell r="D18" t="str">
            <v>Fondo Fijo Logistica PJC</v>
          </cell>
          <cell r="E18">
            <v>5000000</v>
          </cell>
        </row>
        <row r="19">
          <cell r="C19" t="str">
            <v>1.01.01.03.010</v>
          </cell>
          <cell r="D19" t="str">
            <v>Fondo Fijo Admin PJC</v>
          </cell>
          <cell r="E19">
            <v>4000000</v>
          </cell>
        </row>
        <row r="20">
          <cell r="C20" t="str">
            <v>1.01.01.03.012</v>
          </cell>
          <cell r="D20" t="str">
            <v>Fondo Fijo Admin MG</v>
          </cell>
          <cell r="E20">
            <v>7000000</v>
          </cell>
        </row>
        <row r="21">
          <cell r="C21" t="str">
            <v>1.01.01.03.013</v>
          </cell>
          <cell r="D21" t="str">
            <v>Fondo Fijo Taller y Obras FDO</v>
          </cell>
          <cell r="E21">
            <v>2000000</v>
          </cell>
        </row>
        <row r="22">
          <cell r="C22" t="str">
            <v>1.01.01.05.001</v>
          </cell>
          <cell r="D22" t="str">
            <v>Banco Itau Cta.Cte. 300033791 GS</v>
          </cell>
          <cell r="E22">
            <v>1430513111</v>
          </cell>
        </row>
        <row r="23">
          <cell r="C23" t="str">
            <v>1.01.01.05.004</v>
          </cell>
          <cell r="D23" t="str">
            <v>Banco Itau Cta. Cte. 2426/5 Guaranies</v>
          </cell>
          <cell r="E23">
            <v>439846358</v>
          </cell>
        </row>
        <row r="24">
          <cell r="C24" t="str">
            <v>1.01.01.05.002</v>
          </cell>
          <cell r="D24" t="str">
            <v>Banco Continental Cta.Cte. 836100 Guaranies</v>
          </cell>
          <cell r="E24">
            <v>914348255</v>
          </cell>
        </row>
        <row r="25">
          <cell r="C25" t="str">
            <v>1.01.01.05.003</v>
          </cell>
          <cell r="D25" t="str">
            <v>Banco Itau Cta.Cte. 600001139 GS</v>
          </cell>
          <cell r="E25">
            <v>553213572</v>
          </cell>
        </row>
        <row r="26">
          <cell r="C26" t="str">
            <v>1.01.01.05.006</v>
          </cell>
          <cell r="D26" t="str">
            <v>Banco Citibank Cta.Cte. 0197682019 Guaranies</v>
          </cell>
          <cell r="E26">
            <v>0</v>
          </cell>
        </row>
        <row r="27">
          <cell r="C27" t="str">
            <v>1.01.01.05.007</v>
          </cell>
          <cell r="D27" t="str">
            <v>Banco Do Brasil Cta.Cte. 327948 Guaranies</v>
          </cell>
          <cell r="E27">
            <v>19208420</v>
          </cell>
        </row>
        <row r="28">
          <cell r="C28" t="str">
            <v>1.01.01.05.009</v>
          </cell>
          <cell r="D28" t="str">
            <v>Banco Basa GS-Capital Fondos Mutuos</v>
          </cell>
          <cell r="E28">
            <v>1027720505</v>
          </cell>
        </row>
        <row r="29">
          <cell r="C29" t="str">
            <v>1.01.01.06.002</v>
          </cell>
          <cell r="D29" t="str">
            <v>Banco Itau Cta.Cte 350100717 Usd.</v>
          </cell>
          <cell r="E29">
            <v>1446354547</v>
          </cell>
        </row>
        <row r="30">
          <cell r="C30" t="str">
            <v>1.01.01.06.004</v>
          </cell>
          <cell r="D30" t="str">
            <v>Banco Basa USD-Capital Fondos Mutuos</v>
          </cell>
          <cell r="E30">
            <v>62025</v>
          </cell>
        </row>
        <row r="31">
          <cell r="C31" t="str">
            <v>1.01.01.06.005</v>
          </cell>
          <cell r="D31" t="str">
            <v>Banco Regional Casa de Bolsa S.A. Usd</v>
          </cell>
          <cell r="E31">
            <v>370978</v>
          </cell>
        </row>
        <row r="32">
          <cell r="C32" t="str">
            <v>1.01.01.07.001</v>
          </cell>
          <cell r="D32" t="str">
            <v>Banco Continental Caja de Ahorro 34-30-003300-05 Reales</v>
          </cell>
          <cell r="E32">
            <v>614639857</v>
          </cell>
        </row>
        <row r="33">
          <cell r="C33" t="str">
            <v>1.01.01.08.001</v>
          </cell>
          <cell r="D33" t="str">
            <v>Banco Citibank Caja de Ahorro 5197682029 Usd.</v>
          </cell>
          <cell r="E33">
            <v>120828</v>
          </cell>
        </row>
        <row r="34">
          <cell r="C34" t="str">
            <v>1.01.01.08.002</v>
          </cell>
          <cell r="D34" t="str">
            <v>Banco Continental Caja de Ahorro 34 -27-240683-05 Usd.</v>
          </cell>
          <cell r="E34">
            <v>214647014</v>
          </cell>
        </row>
        <row r="35">
          <cell r="C35" t="str">
            <v>1.01.01.08.003</v>
          </cell>
          <cell r="D35" t="str">
            <v>Banco Visión Caja de Ahorro 18325910 Guaraníes</v>
          </cell>
          <cell r="E35">
            <v>75173966</v>
          </cell>
        </row>
        <row r="36">
          <cell r="C36" t="str">
            <v>1.01.01.09.001</v>
          </cell>
          <cell r="D36" t="str">
            <v>Cuenta control caja y bancos</v>
          </cell>
          <cell r="E36">
            <v>30000000</v>
          </cell>
        </row>
        <row r="37">
          <cell r="C37" t="str">
            <v>1.01.01.09.003</v>
          </cell>
          <cell r="D37" t="str">
            <v>Canje cliente- proveedores</v>
          </cell>
          <cell r="E37">
            <v>3979457</v>
          </cell>
        </row>
        <row r="38">
          <cell r="C38" t="str">
            <v>1.01.01.09.007</v>
          </cell>
          <cell r="D38" t="str">
            <v>Cuenta control NCAM</v>
          </cell>
          <cell r="E38">
            <v>0</v>
          </cell>
        </row>
        <row r="39">
          <cell r="C39" t="str">
            <v>1.01.02.01.001</v>
          </cell>
          <cell r="D39" t="str">
            <v>Creditos clientes</v>
          </cell>
          <cell r="E39">
            <v>8440997636</v>
          </cell>
        </row>
        <row r="40">
          <cell r="C40" t="str">
            <v>1.01.02.01.003</v>
          </cell>
          <cell r="D40" t="str">
            <v>Creditos en gestion de cobro</v>
          </cell>
          <cell r="E40">
            <v>530679587</v>
          </cell>
        </row>
        <row r="41">
          <cell r="C41" t="str">
            <v>1.01.02.02.001</v>
          </cell>
          <cell r="D41" t="str">
            <v>Cheques diferidos Guaranies</v>
          </cell>
          <cell r="E41">
            <v>2781301189</v>
          </cell>
        </row>
        <row r="42">
          <cell r="C42" t="str">
            <v>1.01.02.02.002</v>
          </cell>
          <cell r="D42" t="str">
            <v>Cheques diferidos Usd.</v>
          </cell>
          <cell r="E42">
            <v>873221261</v>
          </cell>
        </row>
        <row r="43">
          <cell r="C43" t="str">
            <v>1.01.02.02.003</v>
          </cell>
          <cell r="D43" t="str">
            <v>Cheques diferidos en custodia Guaranies</v>
          </cell>
          <cell r="E43">
            <v>7462318375</v>
          </cell>
        </row>
        <row r="44">
          <cell r="C44" t="str">
            <v>1.01.02.03.001</v>
          </cell>
          <cell r="D44" t="str">
            <v>Cheques rechazados Guaranies</v>
          </cell>
          <cell r="E44">
            <v>1355593685</v>
          </cell>
        </row>
        <row r="45">
          <cell r="C45" t="str">
            <v>1.01.02.03.002</v>
          </cell>
          <cell r="D45" t="str">
            <v>Cheques rechazados Usd.</v>
          </cell>
          <cell r="E45">
            <v>0</v>
          </cell>
        </row>
        <row r="46">
          <cell r="C46" t="str">
            <v>1.01.02.03.003</v>
          </cell>
          <cell r="D46" t="str">
            <v>Cheques en gestion judicial Guaranies</v>
          </cell>
          <cell r="E46">
            <v>5592293787</v>
          </cell>
        </row>
        <row r="47">
          <cell r="C47" t="str">
            <v>1.01.02.04.003</v>
          </cell>
          <cell r="D47" t="str">
            <v>Cheques canjeado Guaranies</v>
          </cell>
          <cell r="E47">
            <v>45205707</v>
          </cell>
        </row>
        <row r="48">
          <cell r="C48" t="str">
            <v>1.01.02.05.001</v>
          </cell>
          <cell r="D48" t="str">
            <v>Tarjetas al Cobro</v>
          </cell>
          <cell r="E48">
            <v>19399237</v>
          </cell>
        </row>
        <row r="49">
          <cell r="C49" t="str">
            <v>1.01.02.06.001</v>
          </cell>
          <cell r="D49" t="str">
            <v>Previsiones para cuentas incobrables</v>
          </cell>
          <cell r="E49">
            <v>-8211056292</v>
          </cell>
        </row>
        <row r="50">
          <cell r="C50" t="str">
            <v>1.01.03.01.001</v>
          </cell>
          <cell r="D50" t="str">
            <v>IVA credito fiscal 10%</v>
          </cell>
          <cell r="E50">
            <v>787241992</v>
          </cell>
        </row>
        <row r="51">
          <cell r="C51" t="str">
            <v>1.01.03.01.003</v>
          </cell>
          <cell r="D51" t="str">
            <v>Retenciones IVA recibidas</v>
          </cell>
          <cell r="E51">
            <v>225752730</v>
          </cell>
        </row>
        <row r="52">
          <cell r="C52" t="str">
            <v>1.01.03.01.004</v>
          </cell>
          <cell r="D52" t="str">
            <v>IVA credito fiscal</v>
          </cell>
          <cell r="E52">
            <v>75414864</v>
          </cell>
        </row>
        <row r="53">
          <cell r="C53" t="str">
            <v>1.01.03.02.001</v>
          </cell>
          <cell r="D53" t="str">
            <v>Retenciones y percepciones computables renta</v>
          </cell>
          <cell r="E53">
            <v>1473331</v>
          </cell>
        </row>
        <row r="54">
          <cell r="C54" t="str">
            <v>1.01.03.02.002</v>
          </cell>
          <cell r="D54" t="str">
            <v>Anticipos impuesto a la renta</v>
          </cell>
          <cell r="E54">
            <v>1806076988</v>
          </cell>
        </row>
        <row r="55">
          <cell r="C55" t="str">
            <v>1.01.03.02.003</v>
          </cell>
          <cell r="D55" t="str">
            <v>Retencion IRE aduana</v>
          </cell>
          <cell r="E55">
            <v>368111699</v>
          </cell>
        </row>
        <row r="56">
          <cell r="C56" t="str">
            <v>1.01.04.01.001</v>
          </cell>
          <cell r="D56" t="str">
            <v>Anticipo viaticos a rendir</v>
          </cell>
          <cell r="E56">
            <v>0</v>
          </cell>
        </row>
        <row r="57">
          <cell r="C57" t="str">
            <v>1.01.04.01.002</v>
          </cell>
          <cell r="D57" t="str">
            <v>Otros anticipos</v>
          </cell>
          <cell r="E57">
            <v>706949222</v>
          </cell>
        </row>
        <row r="58">
          <cell r="C58" t="str">
            <v>1.01.04.02.003</v>
          </cell>
          <cell r="D58" t="str">
            <v>Anticipos a proveedores exterior</v>
          </cell>
          <cell r="E58">
            <v>11740344485</v>
          </cell>
        </row>
        <row r="59">
          <cell r="C59" t="str">
            <v>1.01.04.02.004</v>
          </cell>
          <cell r="D59" t="str">
            <v>Anticipos a proveedores locales</v>
          </cell>
          <cell r="E59">
            <v>2685456295</v>
          </cell>
        </row>
        <row r="60">
          <cell r="C60" t="str">
            <v>1.01.04.03.008</v>
          </cell>
          <cell r="D60" t="str">
            <v>Anticipos Di Vetro S.A.</v>
          </cell>
          <cell r="E60">
            <v>3870500</v>
          </cell>
        </row>
        <row r="61">
          <cell r="C61" t="str">
            <v>1.01.04.03.005</v>
          </cell>
          <cell r="D61" t="str">
            <v>Anticipos Glassber S.A. - Migracion</v>
          </cell>
          <cell r="E61">
            <v>61909052436</v>
          </cell>
        </row>
        <row r="62">
          <cell r="C62" t="str">
            <v>1.01.04.04.001</v>
          </cell>
          <cell r="D62" t="str">
            <v>Anticipos para despachos de importacion</v>
          </cell>
          <cell r="E62">
            <v>627833719</v>
          </cell>
        </row>
        <row r="63">
          <cell r="C63" t="str">
            <v>1.01.04.05.001</v>
          </cell>
          <cell r="D63" t="str">
            <v>Anticipos de sueldos</v>
          </cell>
          <cell r="E63">
            <v>0</v>
          </cell>
        </row>
        <row r="64">
          <cell r="C64" t="str">
            <v>1.01.04.05.002</v>
          </cell>
          <cell r="D64" t="str">
            <v>Cuentas por cobrar personal comedor</v>
          </cell>
          <cell r="E64">
            <v>0</v>
          </cell>
        </row>
        <row r="65">
          <cell r="C65" t="str">
            <v>1.01.04.05.003</v>
          </cell>
          <cell r="D65" t="str">
            <v>Cuentas por cobrar personal uniformes</v>
          </cell>
          <cell r="E65">
            <v>0</v>
          </cell>
        </row>
        <row r="66">
          <cell r="C66" t="str">
            <v>1.01.04.05.004</v>
          </cell>
          <cell r="D66" t="str">
            <v>Cuentas por cobrar seguro medico</v>
          </cell>
          <cell r="E66">
            <v>0</v>
          </cell>
        </row>
        <row r="67">
          <cell r="C67" t="str">
            <v>1.01.04.05.005</v>
          </cell>
          <cell r="D67" t="str">
            <v>Cuentas por cobrar reparacion celulares</v>
          </cell>
          <cell r="E67">
            <v>0</v>
          </cell>
        </row>
        <row r="68">
          <cell r="C68" t="str">
            <v>1.01.04.05.007</v>
          </cell>
          <cell r="D68" t="str">
            <v>Cuentas por cobrar personal cooperativa</v>
          </cell>
          <cell r="E68">
            <v>0</v>
          </cell>
        </row>
        <row r="69">
          <cell r="C69" t="str">
            <v>1.01.04.05.008</v>
          </cell>
          <cell r="D69" t="str">
            <v>Cuentas por cobrar personal farmacia</v>
          </cell>
          <cell r="E69">
            <v>0</v>
          </cell>
        </row>
        <row r="70">
          <cell r="C70" t="str">
            <v>1.01.04.05.009</v>
          </cell>
          <cell r="D70" t="str">
            <v>Deposito judicial RRHH</v>
          </cell>
          <cell r="E70">
            <v>54787055</v>
          </cell>
        </row>
        <row r="71">
          <cell r="C71" t="str">
            <v>1.01.04.05.010</v>
          </cell>
          <cell r="D71" t="str">
            <v>Anticipos de aguinaldos</v>
          </cell>
          <cell r="E71">
            <v>0</v>
          </cell>
        </row>
        <row r="72">
          <cell r="C72" t="str">
            <v>1.01.04.05.011</v>
          </cell>
          <cell r="D72" t="str">
            <v>Otros descuentos</v>
          </cell>
          <cell r="E72">
            <v>0</v>
          </cell>
        </row>
        <row r="73">
          <cell r="C73" t="str">
            <v>1.01.04.07.001</v>
          </cell>
          <cell r="D73" t="str">
            <v>Siniestros a cobrar mercaderias</v>
          </cell>
          <cell r="E73">
            <v>17044949</v>
          </cell>
        </row>
        <row r="74">
          <cell r="C74" t="str">
            <v>1.01.04.07.004</v>
          </cell>
          <cell r="D74" t="str">
            <v>Debitos por embargo judicial a recuperar</v>
          </cell>
          <cell r="E74">
            <v>0</v>
          </cell>
        </row>
        <row r="75">
          <cell r="C75" t="str">
            <v>1.01.04.07.005</v>
          </cell>
          <cell r="D75" t="str">
            <v>Descuentos por compras VASA</v>
          </cell>
          <cell r="E75">
            <v>80544361</v>
          </cell>
        </row>
        <row r="76">
          <cell r="C76" t="str">
            <v>1.01.04.07.006</v>
          </cell>
          <cell r="D76" t="str">
            <v>Siniestros a recuperar</v>
          </cell>
          <cell r="E76">
            <v>412607076</v>
          </cell>
        </row>
        <row r="77">
          <cell r="C77" t="str">
            <v>1.01.04.08.001</v>
          </cell>
          <cell r="D77" t="str">
            <v>Otras cuentas por cobrar</v>
          </cell>
          <cell r="E77">
            <v>300000</v>
          </cell>
        </row>
        <row r="78">
          <cell r="C78" t="str">
            <v>1.01.04.09.001</v>
          </cell>
          <cell r="D78" t="str">
            <v>Garantias de alquiler</v>
          </cell>
          <cell r="E78">
            <v>18559535</v>
          </cell>
        </row>
        <row r="79">
          <cell r="C79" t="str">
            <v>1.01.04.09.002</v>
          </cell>
          <cell r="D79" t="str">
            <v>Otras garantias</v>
          </cell>
          <cell r="E79">
            <v>256091856</v>
          </cell>
        </row>
        <row r="80">
          <cell r="C80" t="str">
            <v>1.01.04.09.003</v>
          </cell>
          <cell r="D80" t="str">
            <v>Alquileres pagados por adelantado</v>
          </cell>
          <cell r="E80">
            <v>4285714</v>
          </cell>
        </row>
        <row r="81">
          <cell r="C81" t="str">
            <v>1.01.04.10.002</v>
          </cell>
          <cell r="D81" t="str">
            <v>Deudores varios</v>
          </cell>
          <cell r="E81">
            <v>0</v>
          </cell>
        </row>
        <row r="82">
          <cell r="C82" t="str">
            <v>1.01.05.01.001</v>
          </cell>
          <cell r="D82" t="str">
            <v>Gastos a devengar</v>
          </cell>
          <cell r="E82">
            <v>20381286</v>
          </cell>
        </row>
        <row r="83">
          <cell r="C83" t="str">
            <v>1.01.05.01.003</v>
          </cell>
          <cell r="D83" t="str">
            <v>Otras cuentas a Devengar</v>
          </cell>
          <cell r="E83">
            <v>522564020</v>
          </cell>
        </row>
        <row r="84">
          <cell r="C84" t="str">
            <v>1.01.05.01.002</v>
          </cell>
          <cell r="D84" t="str">
            <v>Seguros a devengar</v>
          </cell>
          <cell r="E84">
            <v>44687415</v>
          </cell>
        </row>
        <row r="85">
          <cell r="C85" t="str">
            <v>1.01.05.01.004</v>
          </cell>
          <cell r="D85" t="str">
            <v>Intereses a devengar CP</v>
          </cell>
          <cell r="E85">
            <v>-6824788003</v>
          </cell>
        </row>
        <row r="86">
          <cell r="C86" t="str">
            <v>1.01.06.01.001</v>
          </cell>
          <cell r="D86" t="str">
            <v>Mercaderias vidrios crudos</v>
          </cell>
          <cell r="E86">
            <v>44504565995</v>
          </cell>
        </row>
        <row r="87">
          <cell r="C87" t="str">
            <v>1.01.06.01.002</v>
          </cell>
          <cell r="D87" t="str">
            <v>Mercaderias perfiles</v>
          </cell>
          <cell r="E87">
            <v>9161573358</v>
          </cell>
        </row>
        <row r="88">
          <cell r="C88" t="str">
            <v>1.01.06.01.003</v>
          </cell>
          <cell r="D88" t="str">
            <v>Mercaderias herrajes</v>
          </cell>
          <cell r="E88">
            <v>11240311358</v>
          </cell>
        </row>
        <row r="89">
          <cell r="C89" t="str">
            <v>1.01.06.01.004</v>
          </cell>
          <cell r="D89" t="str">
            <v>Mercaderias construccion en seco</v>
          </cell>
          <cell r="E89">
            <v>10017353858</v>
          </cell>
        </row>
        <row r="90">
          <cell r="C90" t="str">
            <v>1.01.06.01.005</v>
          </cell>
          <cell r="D90" t="str">
            <v>Mercaderias carpinteria de aluminio</v>
          </cell>
          <cell r="E90">
            <v>35137330306</v>
          </cell>
        </row>
        <row r="91">
          <cell r="C91" t="str">
            <v>1.01.06.01.006</v>
          </cell>
          <cell r="D91" t="str">
            <v>Mercaderias siliconas</v>
          </cell>
          <cell r="E91">
            <v>9090057</v>
          </cell>
        </row>
        <row r="92">
          <cell r="C92" t="str">
            <v>1.01.06.01.010</v>
          </cell>
          <cell r="D92" t="str">
            <v>Mercaderias productos estandar</v>
          </cell>
          <cell r="E92">
            <v>357118812</v>
          </cell>
        </row>
        <row r="93">
          <cell r="C93" t="str">
            <v>1.01.06.01.011</v>
          </cell>
          <cell r="D93" t="str">
            <v>Mercaderias locales</v>
          </cell>
          <cell r="E93">
            <v>629542016</v>
          </cell>
        </row>
        <row r="94">
          <cell r="C94" t="str">
            <v>1.01.06.01.012</v>
          </cell>
          <cell r="D94" t="str">
            <v>Mercaderias importadas</v>
          </cell>
          <cell r="E94">
            <v>6237480243</v>
          </cell>
        </row>
        <row r="95">
          <cell r="C95" t="str">
            <v>1.01.06.01.014</v>
          </cell>
          <cell r="D95" t="str">
            <v>Mercaderias obras</v>
          </cell>
          <cell r="E95">
            <v>-335772265</v>
          </cell>
        </row>
        <row r="96">
          <cell r="C96" t="str">
            <v>1.01.06.01.015</v>
          </cell>
          <cell r="D96" t="str">
            <v>Insumos MKT</v>
          </cell>
          <cell r="E96">
            <v>101772831</v>
          </cell>
        </row>
        <row r="97">
          <cell r="C97" t="str">
            <v>1.01.06.01.016</v>
          </cell>
          <cell r="D97" t="str">
            <v>Insumos en deposito</v>
          </cell>
          <cell r="E97">
            <v>10682610094</v>
          </cell>
        </row>
        <row r="98">
          <cell r="C98" t="str">
            <v>1.01.06.01.018</v>
          </cell>
          <cell r="D98" t="str">
            <v>TCA Movimientos Stock</v>
          </cell>
          <cell r="E98">
            <v>205078303</v>
          </cell>
        </row>
        <row r="99">
          <cell r="C99" t="str">
            <v>1.01.06.01.019</v>
          </cell>
          <cell r="D99" t="str">
            <v>Movimientos Stock Laminados</v>
          </cell>
          <cell r="E99">
            <v>0</v>
          </cell>
        </row>
        <row r="100">
          <cell r="C100" t="str">
            <v>1.01.06.01.020</v>
          </cell>
          <cell r="D100" t="str">
            <v>Transferencia entre codigos</v>
          </cell>
          <cell r="E100">
            <v>0</v>
          </cell>
        </row>
        <row r="101">
          <cell r="C101" t="str">
            <v>1.01.06.01.021</v>
          </cell>
          <cell r="D101" t="str">
            <v>Movimiento Scrap Perfiles</v>
          </cell>
          <cell r="E101">
            <v>0</v>
          </cell>
        </row>
        <row r="102">
          <cell r="C102" t="str">
            <v>1.01.06.01.022</v>
          </cell>
          <cell r="D102" t="str">
            <v>Mercaderias recuperadas</v>
          </cell>
          <cell r="E102">
            <v>0</v>
          </cell>
        </row>
        <row r="103">
          <cell r="C103" t="str">
            <v>1.01.06.02.001</v>
          </cell>
          <cell r="D103" t="str">
            <v>Servicios de anodizado</v>
          </cell>
          <cell r="E103">
            <v>7887888</v>
          </cell>
        </row>
        <row r="104">
          <cell r="C104" t="str">
            <v>1.01.06.02.002</v>
          </cell>
          <cell r="D104" t="str">
            <v>Servicios de decapado</v>
          </cell>
          <cell r="E104">
            <v>80955926</v>
          </cell>
        </row>
        <row r="105">
          <cell r="C105" t="str">
            <v>1.01.06.02.003</v>
          </cell>
          <cell r="D105" t="str">
            <v>Servicios de pintura</v>
          </cell>
          <cell r="E105">
            <v>76494797</v>
          </cell>
        </row>
        <row r="106">
          <cell r="C106" t="str">
            <v>1.01.06.02.005</v>
          </cell>
          <cell r="D106" t="str">
            <v>Servicios de pulido</v>
          </cell>
          <cell r="E106">
            <v>0</v>
          </cell>
        </row>
        <row r="107">
          <cell r="C107" t="str">
            <v>1.01.06.02.006</v>
          </cell>
          <cell r="D107" t="str">
            <v>Servicios procesados</v>
          </cell>
          <cell r="E107">
            <v>0</v>
          </cell>
        </row>
        <row r="108">
          <cell r="C108" t="str">
            <v>1.01.06.02.007</v>
          </cell>
          <cell r="D108" t="str">
            <v>Servicios tercerizados - Grandes Obras</v>
          </cell>
          <cell r="E108">
            <v>532821293</v>
          </cell>
        </row>
        <row r="109">
          <cell r="C109" t="str">
            <v>1.01.06.03.001</v>
          </cell>
          <cell r="D109" t="str">
            <v>Sobrantes de mercaderias</v>
          </cell>
          <cell r="E109">
            <v>0</v>
          </cell>
        </row>
        <row r="110">
          <cell r="C110" t="str">
            <v>1.01.06.03.003</v>
          </cell>
          <cell r="D110" t="str">
            <v>Saldos VILUX</v>
          </cell>
          <cell r="E110">
            <v>-2</v>
          </cell>
        </row>
        <row r="111">
          <cell r="C111" t="str">
            <v>1.01.06.03.004</v>
          </cell>
          <cell r="D111" t="str">
            <v>Retazos vidrios crudos</v>
          </cell>
          <cell r="E111">
            <v>1292754104</v>
          </cell>
        </row>
        <row r="112">
          <cell r="C112" t="str">
            <v>1.01.06.03.005</v>
          </cell>
          <cell r="D112" t="str">
            <v>Otros bienes de cambio</v>
          </cell>
          <cell r="E112">
            <v>1259962294</v>
          </cell>
        </row>
        <row r="113">
          <cell r="C113" t="str">
            <v>1.01.06.03.006</v>
          </cell>
          <cell r="D113" t="str">
            <v>Descabezados</v>
          </cell>
          <cell r="E113">
            <v>14499710</v>
          </cell>
        </row>
        <row r="114">
          <cell r="C114" t="str">
            <v>1.01.06.04.001</v>
          </cell>
          <cell r="D114" t="str">
            <v>Importaciones en curso bienes de cambio</v>
          </cell>
          <cell r="E114">
            <v>39421059</v>
          </cell>
        </row>
        <row r="115">
          <cell r="C115" t="str">
            <v>1.01.06.05.001</v>
          </cell>
          <cell r="D115" t="str">
            <v>Productos en proceso</v>
          </cell>
          <cell r="E115">
            <v>1514991507</v>
          </cell>
        </row>
        <row r="116">
          <cell r="C116" t="str">
            <v>1.01.06.06.001</v>
          </cell>
          <cell r="D116" t="str">
            <v>Vidrios procesados</v>
          </cell>
          <cell r="E116">
            <v>5076740984</v>
          </cell>
        </row>
        <row r="117">
          <cell r="C117" t="str">
            <v>1.01.06.98.002</v>
          </cell>
          <cell r="D117" t="str">
            <v>Transferencias sucursales</v>
          </cell>
          <cell r="E117">
            <v>-557698216</v>
          </cell>
        </row>
        <row r="118">
          <cell r="C118" t="str">
            <v>1.01.06.98.003</v>
          </cell>
          <cell r="D118" t="str">
            <v>Mercaderias a ingresar</v>
          </cell>
          <cell r="E118">
            <v>4285767073</v>
          </cell>
        </row>
        <row r="119">
          <cell r="C119" t="str">
            <v>1.01.06.98.004</v>
          </cell>
          <cell r="D119" t="str">
            <v>Trasnferencia entre mismo codigo</v>
          </cell>
          <cell r="E119">
            <v>0</v>
          </cell>
        </row>
        <row r="120">
          <cell r="C120" t="str">
            <v>1.01.06.98.005</v>
          </cell>
          <cell r="D120" t="str">
            <v>Transferecia mercaderias sobrantes</v>
          </cell>
          <cell r="E120">
            <v>0</v>
          </cell>
        </row>
        <row r="121">
          <cell r="C121" t="str">
            <v>1.02.03.01.001</v>
          </cell>
          <cell r="D121" t="str">
            <v>Terrenos</v>
          </cell>
          <cell r="E121">
            <v>12722319633</v>
          </cell>
        </row>
        <row r="122">
          <cell r="C122" t="str">
            <v>1.02.03.01.002</v>
          </cell>
          <cell r="D122" t="str">
            <v>Edificios Propios</v>
          </cell>
          <cell r="E122">
            <v>86176965194</v>
          </cell>
        </row>
        <row r="123">
          <cell r="C123" t="str">
            <v>1.02.03.01.003</v>
          </cell>
          <cell r="D123" t="str">
            <v>(-) Deprec. Acumuladas-Edificios</v>
          </cell>
          <cell r="E123">
            <v>-15004192574</v>
          </cell>
        </row>
        <row r="124">
          <cell r="C124" t="str">
            <v>1.02.03.02.001</v>
          </cell>
          <cell r="D124" t="str">
            <v>Rodados</v>
          </cell>
          <cell r="E124">
            <v>4188758033</v>
          </cell>
        </row>
        <row r="125">
          <cell r="C125" t="str">
            <v>1.02.03.02.003</v>
          </cell>
          <cell r="D125" t="str">
            <v>Aeronaves</v>
          </cell>
          <cell r="E125">
            <v>15987204525</v>
          </cell>
        </row>
        <row r="126">
          <cell r="C126" t="str">
            <v>1.02.03.02.002</v>
          </cell>
          <cell r="D126" t="str">
            <v>(-) Deprec. Acumuladas-Rodados</v>
          </cell>
          <cell r="E126">
            <v>-3176287341</v>
          </cell>
        </row>
        <row r="127">
          <cell r="C127" t="str">
            <v>1.02.03.03.001</v>
          </cell>
          <cell r="D127" t="str">
            <v>Maquinarias y Equipos</v>
          </cell>
          <cell r="E127">
            <v>87024011314</v>
          </cell>
        </row>
        <row r="128">
          <cell r="C128" t="str">
            <v>1.02.03.03.002</v>
          </cell>
          <cell r="D128" t="str">
            <v>(-) Deprec. Acumuladas- Maquinarias y Equipos</v>
          </cell>
          <cell r="E128">
            <v>-45312277286</v>
          </cell>
        </row>
        <row r="129">
          <cell r="C129" t="str">
            <v>1.02.03.03.003</v>
          </cell>
          <cell r="D129" t="str">
            <v>Herramientas y equipos</v>
          </cell>
          <cell r="E129">
            <v>688407993</v>
          </cell>
        </row>
        <row r="130">
          <cell r="C130" t="str">
            <v>1.02.03.03.004</v>
          </cell>
          <cell r="D130" t="str">
            <v>(-) Deprec. Acumuladas-Herramientas y equipos</v>
          </cell>
          <cell r="E130">
            <v>-591181160</v>
          </cell>
        </row>
        <row r="131">
          <cell r="C131" t="str">
            <v>1.02.03.04.001</v>
          </cell>
          <cell r="D131" t="str">
            <v>Instalaciones Varias</v>
          </cell>
          <cell r="E131">
            <v>2890532162</v>
          </cell>
        </row>
        <row r="132">
          <cell r="C132" t="str">
            <v>1.02.03.04.002</v>
          </cell>
          <cell r="D132" t="str">
            <v>(-) Deprec. Acumuladas-Instalaciones Varias</v>
          </cell>
          <cell r="E132">
            <v>-1123190969</v>
          </cell>
        </row>
        <row r="133">
          <cell r="C133" t="str">
            <v>1.02.03.04.003</v>
          </cell>
          <cell r="D133" t="str">
            <v>Mejoras en propiedades de terceros</v>
          </cell>
          <cell r="E133">
            <v>889367988</v>
          </cell>
        </row>
        <row r="134">
          <cell r="C134" t="str">
            <v>1.02.03.04.004</v>
          </cell>
          <cell r="D134" t="str">
            <v>(-) Deprec. Acumuladas-Mejoras en propiedades de terceros</v>
          </cell>
          <cell r="E134">
            <v>-235975480</v>
          </cell>
        </row>
        <row r="135">
          <cell r="C135" t="str">
            <v>1.02.03.05.001</v>
          </cell>
          <cell r="D135" t="str">
            <v>Muebles y utiles</v>
          </cell>
          <cell r="E135">
            <v>3111957066</v>
          </cell>
        </row>
        <row r="136">
          <cell r="C136" t="str">
            <v>1.02.03.05.002</v>
          </cell>
          <cell r="D136" t="str">
            <v>(-) Deprec. Acumuladas-Muebles y Utiles</v>
          </cell>
          <cell r="E136">
            <v>-2263699485</v>
          </cell>
        </row>
        <row r="137">
          <cell r="C137" t="str">
            <v>1.02.03.06.001</v>
          </cell>
          <cell r="D137" t="str">
            <v>Equipos de Informatica</v>
          </cell>
          <cell r="E137">
            <v>3720478307</v>
          </cell>
        </row>
        <row r="138">
          <cell r="C138" t="str">
            <v>1.02.03.06.002</v>
          </cell>
          <cell r="D138" t="str">
            <v>(-) Deprec. Acumuladas-Equipos de Informatica</v>
          </cell>
          <cell r="E138">
            <v>-2747718741</v>
          </cell>
        </row>
        <row r="139">
          <cell r="C139" t="str">
            <v>1.02.03.07.001</v>
          </cell>
          <cell r="D139" t="str">
            <v>Leasing Equipos Informaticos</v>
          </cell>
          <cell r="E139">
            <v>0</v>
          </cell>
        </row>
        <row r="140">
          <cell r="C140" t="str">
            <v>1.02.04.03.001</v>
          </cell>
          <cell r="D140" t="str">
            <v>Desarrollo Software</v>
          </cell>
          <cell r="E140">
            <v>3858338026</v>
          </cell>
        </row>
        <row r="141">
          <cell r="C141" t="str">
            <v>1.02.04.04.001</v>
          </cell>
          <cell r="D141" t="str">
            <v>Licencia de Informatica</v>
          </cell>
          <cell r="E141">
            <v>86016067</v>
          </cell>
        </row>
        <row r="142">
          <cell r="C142" t="str">
            <v>1.02.04.04.002</v>
          </cell>
          <cell r="D142" t="str">
            <v>(-) Amortizacion Acumulada- Licencia de Informatica</v>
          </cell>
          <cell r="E142">
            <v>-11404870</v>
          </cell>
        </row>
        <row r="143">
          <cell r="C143" t="str">
            <v>1.02.05.01.002</v>
          </cell>
          <cell r="D143" t="str">
            <v>Obras en curso dpto. Corar piso 12</v>
          </cell>
          <cell r="E143">
            <v>1777966464</v>
          </cell>
        </row>
        <row r="144">
          <cell r="C144" t="str">
            <v>1.02.05.01.003</v>
          </cell>
          <cell r="D144" t="str">
            <v>Obras en curso Pedro Juan Caballero</v>
          </cell>
          <cell r="E144">
            <v>0</v>
          </cell>
        </row>
        <row r="145">
          <cell r="C145" t="str">
            <v>1.02.05.01.004</v>
          </cell>
          <cell r="D145" t="str">
            <v>Remodelaciones</v>
          </cell>
          <cell r="E145">
            <v>0</v>
          </cell>
        </row>
        <row r="146">
          <cell r="C146" t="str">
            <v>1.02.05.02.001</v>
          </cell>
          <cell r="D146" t="str">
            <v>Obras en curso maquinarias y equipos</v>
          </cell>
          <cell r="E146">
            <v>330259024</v>
          </cell>
        </row>
        <row r="147">
          <cell r="C147" t="str">
            <v>1.02.05.02.002</v>
          </cell>
          <cell r="D147" t="str">
            <v>Maquinarias a instalar</v>
          </cell>
          <cell r="E147">
            <v>0</v>
          </cell>
        </row>
        <row r="148">
          <cell r="C148" t="str">
            <v>1.02.05.03.001</v>
          </cell>
          <cell r="D148" t="str">
            <v>Obras en curso desarrollo software SAP</v>
          </cell>
          <cell r="E148">
            <v>112819291</v>
          </cell>
        </row>
        <row r="149">
          <cell r="C149" t="str">
            <v>1.02.05.03.002</v>
          </cell>
          <cell r="D149" t="str">
            <v>Desarrollo software REIGLASS</v>
          </cell>
          <cell r="E149">
            <v>363630996</v>
          </cell>
        </row>
        <row r="150">
          <cell r="C150" t="str">
            <v>1.02.05.05.001</v>
          </cell>
          <cell r="D150" t="str">
            <v>Obras en curso Chaco</v>
          </cell>
          <cell r="E150">
            <v>6959454932</v>
          </cell>
        </row>
        <row r="151">
          <cell r="C151" t="str">
            <v>1.02.05.05.002</v>
          </cell>
          <cell r="D151" t="str">
            <v>Terrenos chaco en gestion</v>
          </cell>
          <cell r="E151">
            <v>1139913637</v>
          </cell>
        </row>
        <row r="152">
          <cell r="C152" t="str">
            <v>1.02.06.01.003</v>
          </cell>
          <cell r="D152" t="str">
            <v>Intereses a Devengar LP</v>
          </cell>
          <cell r="E152">
            <v>-9593487403</v>
          </cell>
        </row>
        <row r="153">
          <cell r="C153" t="str">
            <v>2.01.01.01.001</v>
          </cell>
          <cell r="D153" t="str">
            <v>Proveedores locales</v>
          </cell>
          <cell r="E153">
            <v>2530903470</v>
          </cell>
        </row>
        <row r="154">
          <cell r="C154" t="str">
            <v>2.01.01.02.001</v>
          </cell>
          <cell r="D154" t="str">
            <v>Proveedores del Exterior</v>
          </cell>
          <cell r="E154">
            <v>11199874</v>
          </cell>
        </row>
        <row r="155">
          <cell r="C155" t="str">
            <v>2.01.01.03.001</v>
          </cell>
          <cell r="D155" t="str">
            <v>Acreedores varios</v>
          </cell>
          <cell r="E155">
            <v>96261482</v>
          </cell>
        </row>
        <row r="156">
          <cell r="C156" t="str">
            <v>2.01.01.04.001</v>
          </cell>
          <cell r="D156" t="str">
            <v>Fondo fijo a reponer Insumos/ Abastecimiento</v>
          </cell>
          <cell r="E156">
            <v>4420800</v>
          </cell>
        </row>
        <row r="157">
          <cell r="C157" t="str">
            <v>2.01.01.04.002</v>
          </cell>
          <cell r="D157" t="str">
            <v>Fondo fijo a reponer planta central y Villeta</v>
          </cell>
          <cell r="E157">
            <v>0</v>
          </cell>
        </row>
        <row r="158">
          <cell r="C158" t="str">
            <v>2.01.01.04.003</v>
          </cell>
          <cell r="D158" t="str">
            <v>Fondo fijo a reponer Logistica Fdo</v>
          </cell>
          <cell r="E158">
            <v>4190000</v>
          </cell>
        </row>
        <row r="159">
          <cell r="C159" t="str">
            <v>2.01.01.04.004</v>
          </cell>
          <cell r="D159" t="str">
            <v>Fondo fijo a reponer Administracion</v>
          </cell>
          <cell r="E159">
            <v>2454625</v>
          </cell>
        </row>
        <row r="160">
          <cell r="C160" t="str">
            <v>2.01.01.04.005</v>
          </cell>
          <cell r="D160" t="str">
            <v>Fondo fijo a reponer Taller y Obra Fdo</v>
          </cell>
          <cell r="E160">
            <v>130500</v>
          </cell>
        </row>
        <row r="161">
          <cell r="C161" t="str">
            <v>2.01.01.04.006</v>
          </cell>
          <cell r="D161" t="str">
            <v>Fondo fijo a reponer Logistica Minga</v>
          </cell>
          <cell r="E161">
            <v>1272000</v>
          </cell>
        </row>
        <row r="162">
          <cell r="C162" t="str">
            <v>2.01.01.04.007</v>
          </cell>
          <cell r="D162" t="str">
            <v>Fondo fijo a reponer Administracion Minga</v>
          </cell>
          <cell r="E162">
            <v>6230430</v>
          </cell>
        </row>
        <row r="163">
          <cell r="C163" t="str">
            <v>2.01.01.04.008</v>
          </cell>
          <cell r="D163" t="str">
            <v>Fondo fijo a reponer Logistica Enc</v>
          </cell>
          <cell r="E163">
            <v>2839214</v>
          </cell>
        </row>
        <row r="164">
          <cell r="C164" t="str">
            <v>2.01.01.04.009</v>
          </cell>
          <cell r="D164" t="str">
            <v>Fondo fijo a reponer Administracion Enc</v>
          </cell>
          <cell r="E164">
            <v>647810</v>
          </cell>
        </row>
        <row r="165">
          <cell r="C165" t="str">
            <v>2.01.01.04.010</v>
          </cell>
          <cell r="D165" t="str">
            <v>Fondo fijo a reponer Logistica PJC</v>
          </cell>
          <cell r="E165">
            <v>1543000</v>
          </cell>
        </row>
        <row r="166">
          <cell r="C166" t="str">
            <v>2.01.01.04.011</v>
          </cell>
          <cell r="D166" t="str">
            <v>Fondo fijo a reponer Administracion PJC</v>
          </cell>
          <cell r="E166">
            <v>1282705</v>
          </cell>
        </row>
        <row r="167">
          <cell r="C167" t="str">
            <v>2.01.01.05.001</v>
          </cell>
          <cell r="D167" t="str">
            <v>Provision facturas a recibir</v>
          </cell>
          <cell r="E167">
            <v>707413421</v>
          </cell>
        </row>
        <row r="168">
          <cell r="C168" t="str">
            <v>2.01.01.05.002</v>
          </cell>
          <cell r="D168" t="str">
            <v>Provisiones comerciales GS</v>
          </cell>
          <cell r="E168">
            <v>265449135</v>
          </cell>
        </row>
        <row r="169">
          <cell r="C169" t="str">
            <v>2.01.01.05.003</v>
          </cell>
          <cell r="D169" t="str">
            <v>Provisiones comerciales ME</v>
          </cell>
          <cell r="E169">
            <v>90283013</v>
          </cell>
        </row>
        <row r="170">
          <cell r="C170" t="str">
            <v>2.01.01.06.001</v>
          </cell>
          <cell r="D170" t="str">
            <v>Alukler S.A.</v>
          </cell>
          <cell r="E170">
            <v>53696342685</v>
          </cell>
        </row>
        <row r="171">
          <cell r="C171" t="str">
            <v>2.01.01.06.003</v>
          </cell>
          <cell r="D171" t="str">
            <v>Transportadora Carlos Costa S.A.</v>
          </cell>
          <cell r="E171">
            <v>84557462</v>
          </cell>
        </row>
        <row r="172">
          <cell r="C172" t="str">
            <v>2.01.01.06.004</v>
          </cell>
          <cell r="D172" t="str">
            <v>Di Vetro S.A.</v>
          </cell>
          <cell r="E172">
            <v>0</v>
          </cell>
        </row>
        <row r="173">
          <cell r="C173" t="str">
            <v>2.01.01.06.005</v>
          </cell>
          <cell r="D173" t="str">
            <v>Glassber S.A.</v>
          </cell>
          <cell r="E173">
            <v>5696884803</v>
          </cell>
        </row>
        <row r="174">
          <cell r="C174" t="str">
            <v>2.01.01.07.002</v>
          </cell>
          <cell r="D174" t="str">
            <v>Cheques en Cartera Usd.</v>
          </cell>
          <cell r="E174">
            <v>4322252</v>
          </cell>
        </row>
        <row r="175">
          <cell r="C175" t="str">
            <v>2.01.02.01.001</v>
          </cell>
          <cell r="D175" t="str">
            <v>Prestamos Bancarios Banco Itau Guaranies</v>
          </cell>
          <cell r="E175">
            <v>7453206880</v>
          </cell>
        </row>
        <row r="176">
          <cell r="C176" t="str">
            <v>2.01.02.02.002</v>
          </cell>
          <cell r="D176" t="str">
            <v>Intereses a pagar Banco Itau Guaranies CP</v>
          </cell>
          <cell r="E176">
            <v>5477093182.7526398</v>
          </cell>
        </row>
        <row r="177">
          <cell r="C177" t="str">
            <v>2.01.02.02.001</v>
          </cell>
          <cell r="D177" t="str">
            <v>Intereses a pagar Banco Itau USD CP</v>
          </cell>
          <cell r="E177">
            <v>1742807742</v>
          </cell>
        </row>
        <row r="178">
          <cell r="C178" t="str">
            <v>2.01.03.01.001</v>
          </cell>
          <cell r="D178" t="str">
            <v>Sueldos a pagar FDO</v>
          </cell>
          <cell r="E178">
            <v>822678385</v>
          </cell>
        </row>
        <row r="179">
          <cell r="C179" t="str">
            <v>2.01.03.01.002</v>
          </cell>
          <cell r="D179" t="str">
            <v>Sueldos a pagar MG</v>
          </cell>
          <cell r="E179">
            <v>126131373</v>
          </cell>
        </row>
        <row r="180">
          <cell r="C180" t="str">
            <v>2.01.03.01.003</v>
          </cell>
          <cell r="D180" t="str">
            <v>Sueldos a pagar ENC</v>
          </cell>
          <cell r="E180">
            <v>86243363</v>
          </cell>
        </row>
        <row r="181">
          <cell r="C181" t="str">
            <v>2.01.03.01.004</v>
          </cell>
          <cell r="D181" t="str">
            <v>Sueldos a pagar PJC</v>
          </cell>
          <cell r="E181">
            <v>101538019</v>
          </cell>
        </row>
        <row r="182">
          <cell r="C182" t="str">
            <v>2.01.03.02.001</v>
          </cell>
          <cell r="D182" t="str">
            <v>Ips a pagar FDO</v>
          </cell>
          <cell r="E182">
            <v>283627216</v>
          </cell>
        </row>
        <row r="183">
          <cell r="C183" t="str">
            <v>2.01.03.02.002</v>
          </cell>
          <cell r="D183" t="str">
            <v>Ips a pagar MG</v>
          </cell>
          <cell r="E183">
            <v>49693649</v>
          </cell>
        </row>
        <row r="184">
          <cell r="C184" t="str">
            <v>2.01.03.02.003</v>
          </cell>
          <cell r="D184" t="str">
            <v>Ips a pagar ENC</v>
          </cell>
          <cell r="E184">
            <v>30305425</v>
          </cell>
        </row>
        <row r="185">
          <cell r="C185" t="str">
            <v>2.01.03.02.004</v>
          </cell>
          <cell r="D185" t="str">
            <v>Ips a pagar PJC</v>
          </cell>
          <cell r="E185">
            <v>32670432</v>
          </cell>
        </row>
        <row r="186">
          <cell r="C186" t="str">
            <v>2.01.03.03.001</v>
          </cell>
          <cell r="D186" t="str">
            <v>Liquidaciones a pagar FDO</v>
          </cell>
          <cell r="E186">
            <v>0</v>
          </cell>
        </row>
        <row r="187">
          <cell r="C187" t="str">
            <v>2.01.03.03.002</v>
          </cell>
          <cell r="D187" t="str">
            <v>Liquidaciones a pagar MG</v>
          </cell>
          <cell r="E187">
            <v>0</v>
          </cell>
        </row>
        <row r="188">
          <cell r="C188" t="str">
            <v>2.01.03.03.003</v>
          </cell>
          <cell r="D188" t="str">
            <v>Liquidaciones a pagar Enc</v>
          </cell>
          <cell r="E188">
            <v>0</v>
          </cell>
        </row>
        <row r="189">
          <cell r="C189" t="str">
            <v>2.01.03.03.004</v>
          </cell>
          <cell r="D189" t="str">
            <v>Liquidaciones a pagar PJC</v>
          </cell>
          <cell r="E189">
            <v>0</v>
          </cell>
        </row>
        <row r="190">
          <cell r="C190" t="str">
            <v>2.01.03.04.001</v>
          </cell>
          <cell r="D190" t="str">
            <v>Descuentos judiciales a pagar</v>
          </cell>
          <cell r="E190">
            <v>1172198</v>
          </cell>
        </row>
        <row r="191">
          <cell r="C191" t="str">
            <v>2.01.03.05.001</v>
          </cell>
          <cell r="D191" t="str">
            <v>Provision aguinaldos</v>
          </cell>
          <cell r="E191">
            <v>0</v>
          </cell>
        </row>
        <row r="192">
          <cell r="C192" t="str">
            <v>2.01.03.05.005</v>
          </cell>
          <cell r="D192" t="str">
            <v>Otras provisiones</v>
          </cell>
          <cell r="E192">
            <v>74129275</v>
          </cell>
        </row>
        <row r="193">
          <cell r="C193" t="str">
            <v>2.01.03.05.006</v>
          </cell>
          <cell r="D193" t="str">
            <v>Provisiones deposito judicial RRHH</v>
          </cell>
          <cell r="E193">
            <v>54787055</v>
          </cell>
        </row>
        <row r="194">
          <cell r="C194" t="str">
            <v>2.01.03.06.002</v>
          </cell>
          <cell r="D194" t="str">
            <v>Prevision para juicios (laborales)</v>
          </cell>
          <cell r="E194">
            <v>45666528</v>
          </cell>
        </row>
        <row r="195">
          <cell r="C195" t="str">
            <v>2.01.04.01.001</v>
          </cell>
          <cell r="D195" t="str">
            <v>DGGC a pagar</v>
          </cell>
          <cell r="E195">
            <v>821526800</v>
          </cell>
        </row>
        <row r="196">
          <cell r="C196" t="str">
            <v>2.01.04.02.001</v>
          </cell>
          <cell r="D196" t="str">
            <v>IVA debito fiscal 10%</v>
          </cell>
          <cell r="E196">
            <v>3935036</v>
          </cell>
        </row>
        <row r="197">
          <cell r="C197" t="str">
            <v>2.01.04.02.003</v>
          </cell>
          <cell r="D197" t="str">
            <v>Retencion IVA a terceros</v>
          </cell>
          <cell r="E197">
            <v>171229843</v>
          </cell>
        </row>
        <row r="198">
          <cell r="C198" t="str">
            <v>2.01.04.02.004</v>
          </cell>
          <cell r="D198" t="str">
            <v>Retencion RENTA a terceros</v>
          </cell>
          <cell r="E198">
            <v>6925202</v>
          </cell>
        </row>
        <row r="199">
          <cell r="C199" t="str">
            <v>2.01.05.02.001</v>
          </cell>
          <cell r="D199" t="str">
            <v>Otras deudas a pagar</v>
          </cell>
          <cell r="E199">
            <v>0</v>
          </cell>
        </row>
        <row r="200">
          <cell r="C200" t="str">
            <v>2.01.05.02.003</v>
          </cell>
          <cell r="D200" t="str">
            <v>Ventas diferidas</v>
          </cell>
          <cell r="E200">
            <v>355787644</v>
          </cell>
        </row>
        <row r="201">
          <cell r="C201" t="str">
            <v>2.01.06.01.001</v>
          </cell>
          <cell r="D201" t="str">
            <v>Anticipos de clientes locales</v>
          </cell>
          <cell r="E201">
            <v>1069536486</v>
          </cell>
        </row>
        <row r="202">
          <cell r="C202" t="str">
            <v>2.01.06.01.002</v>
          </cell>
          <cell r="D202" t="str">
            <v>Anticipos de clientes migraciones</v>
          </cell>
          <cell r="E202">
            <v>16740222</v>
          </cell>
        </row>
        <row r="203">
          <cell r="C203" t="str">
            <v>2.01.06.01.003</v>
          </cell>
          <cell r="D203" t="str">
            <v>Anticipos de proyectos en ejecucion</v>
          </cell>
          <cell r="E203">
            <v>4327311475</v>
          </cell>
        </row>
        <row r="204">
          <cell r="C204" t="str">
            <v>2.02.01.01.001</v>
          </cell>
          <cell r="D204" t="str">
            <v>Prevision para juicios laborales LP</v>
          </cell>
          <cell r="E204">
            <v>52127976</v>
          </cell>
        </row>
        <row r="205">
          <cell r="C205" t="str">
            <v>2.02.02.01.001</v>
          </cell>
          <cell r="D205" t="str">
            <v>Prestamos banco ITAU capital Guaranies LP</v>
          </cell>
          <cell r="E205">
            <v>38918400484</v>
          </cell>
        </row>
        <row r="206">
          <cell r="C206" t="str">
            <v>2.02.02.01.002</v>
          </cell>
          <cell r="D206" t="str">
            <v>Prestamos banco ITAU capital Usd. LP</v>
          </cell>
          <cell r="E206">
            <v>33028290000</v>
          </cell>
        </row>
        <row r="207">
          <cell r="C207" t="str">
            <v>2.02.02.02.001</v>
          </cell>
          <cell r="D207" t="str">
            <v>Intereses a pagar banco Itau Guaranies LP</v>
          </cell>
          <cell r="E207">
            <v>8283370722.9699993</v>
          </cell>
        </row>
        <row r="208">
          <cell r="C208" t="str">
            <v>2.02.02.02.002</v>
          </cell>
          <cell r="D208" t="str">
            <v>Intereses a pagar banco Itau Usd. LP</v>
          </cell>
          <cell r="E208">
            <v>1161871828</v>
          </cell>
        </row>
        <row r="209">
          <cell r="C209" t="str">
            <v>2.02.03.01.002</v>
          </cell>
          <cell r="D209" t="str">
            <v>Emision de bonos Dolares</v>
          </cell>
          <cell r="E209">
            <v>14679240000</v>
          </cell>
        </row>
        <row r="210">
          <cell r="C210" t="str">
            <v>2.02.03.01.001</v>
          </cell>
          <cell r="D210" t="str">
            <v>Emision de bonos Guaranies</v>
          </cell>
          <cell r="E210">
            <v>17000000000</v>
          </cell>
        </row>
        <row r="211">
          <cell r="C211" t="str">
            <v>3.01.01.01.001</v>
          </cell>
          <cell r="D211" t="str">
            <v>Capital Social</v>
          </cell>
          <cell r="E211">
            <v>200000000000</v>
          </cell>
        </row>
        <row r="212">
          <cell r="C212" t="str">
            <v>3.01.01.01.002</v>
          </cell>
          <cell r="D212" t="str">
            <v>Aporte para aumento de capital</v>
          </cell>
          <cell r="E212">
            <v>-7826983776</v>
          </cell>
        </row>
        <row r="213">
          <cell r="C213" t="str">
            <v>3.01.02.01.001</v>
          </cell>
          <cell r="D213" t="str">
            <v>Reserva Legal</v>
          </cell>
          <cell r="E213">
            <v>2720132014</v>
          </cell>
        </row>
        <row r="214">
          <cell r="C214" t="str">
            <v>3.01.02.01.002</v>
          </cell>
          <cell r="D214" t="str">
            <v>Reserva Revaluo</v>
          </cell>
          <cell r="E214">
            <v>0</v>
          </cell>
        </row>
        <row r="215">
          <cell r="C215" t="str">
            <v>3.01.02.01.003</v>
          </cell>
          <cell r="D215" t="str">
            <v>Reserva Revaluo Extraordinario</v>
          </cell>
          <cell r="E215">
            <v>11423641075</v>
          </cell>
        </row>
        <row r="216">
          <cell r="C216" t="str">
            <v>3.01.03.01.001</v>
          </cell>
          <cell r="D216" t="str">
            <v>Resultados Acumulados</v>
          </cell>
          <cell r="E216">
            <v>17763825535</v>
          </cell>
        </row>
        <row r="217">
          <cell r="C217" t="str">
            <v>Período ganancias</v>
          </cell>
          <cell r="E217">
            <v>5718723977</v>
          </cell>
        </row>
        <row r="222">
          <cell r="E222">
            <v>5897675865</v>
          </cell>
        </row>
        <row r="223">
          <cell r="E223"/>
        </row>
        <row r="224">
          <cell r="D224" t="str">
            <v>Activo</v>
          </cell>
          <cell r="E224">
            <v>412867736542</v>
          </cell>
        </row>
        <row r="225">
          <cell r="D225" t="str">
            <v>Pasivo</v>
          </cell>
          <cell r="E225">
            <v>183068397716.72263</v>
          </cell>
        </row>
        <row r="226">
          <cell r="D226" t="str">
            <v>Patrimonio neto</v>
          </cell>
          <cell r="E226">
            <v>229799338825</v>
          </cell>
        </row>
        <row r="227">
          <cell r="E227">
            <v>0.277374267578125</v>
          </cell>
        </row>
        <row r="228">
          <cell r="E228"/>
        </row>
        <row r="229">
          <cell r="E229">
            <v>4665047337</v>
          </cell>
        </row>
        <row r="231">
          <cell r="E231">
            <v>4665047.3370000003</v>
          </cell>
        </row>
      </sheetData>
      <sheetData sheetId="5" refreshError="1"/>
      <sheetData sheetId="6" refreshError="1"/>
      <sheetData sheetId="7" refreshError="1"/>
      <sheetData sheetId="8">
        <row r="18">
          <cell r="F18">
            <v>203485576.31900001</v>
          </cell>
        </row>
      </sheetData>
      <sheetData sheetId="9" refreshError="1"/>
      <sheetData sheetId="10" refreshError="1"/>
      <sheetData sheetId="11" refreshError="1"/>
      <sheetData sheetId="12" refreshError="1"/>
      <sheetData sheetId="13" refreshError="1"/>
      <sheetData sheetId="14">
        <row r="26">
          <cell r="F26">
            <v>8439245.2559999991</v>
          </cell>
        </row>
      </sheetData>
      <sheetData sheetId="15" refreshError="1"/>
      <sheetData sheetId="16" refreshError="1"/>
      <sheetData sheetId="17"/>
      <sheetData sheetId="18">
        <row r="35">
          <cell r="C35">
            <v>42860660.835999995</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heet1"/>
    </sheetNames>
    <sheetDataSet>
      <sheetData sheetId="0">
        <row r="1">
          <cell r="A1" t="str">
            <v>Cuenta de mayor</v>
          </cell>
          <cell r="B1" t="str">
            <v>Nombre</v>
          </cell>
          <cell r="C1" t="str">
            <v>Saldo</v>
          </cell>
        </row>
        <row r="2">
          <cell r="A2" t="str">
            <v>4.01.01.01.001</v>
          </cell>
          <cell r="B2" t="str">
            <v>Ventas vidrios crudos</v>
          </cell>
          <cell r="C2">
            <v>10228474283</v>
          </cell>
        </row>
        <row r="3">
          <cell r="A3" t="str">
            <v>4.01.01.01.004</v>
          </cell>
          <cell r="B3" t="str">
            <v>Diferencia de precios vidrios crudos</v>
          </cell>
          <cell r="C3">
            <v>-279140221</v>
          </cell>
        </row>
        <row r="4">
          <cell r="A4" t="str">
            <v>4.01.01.02.001</v>
          </cell>
          <cell r="B4" t="str">
            <v>Ventas perfiles</v>
          </cell>
          <cell r="C4">
            <v>16019790777</v>
          </cell>
        </row>
        <row r="5">
          <cell r="A5" t="str">
            <v>4.01.01.02.004</v>
          </cell>
          <cell r="B5" t="str">
            <v>Descuentos de perfiles</v>
          </cell>
          <cell r="C5">
            <v>-376879196</v>
          </cell>
        </row>
        <row r="6">
          <cell r="A6" t="str">
            <v>4.01.01.03.001</v>
          </cell>
          <cell r="B6" t="str">
            <v>Ventas herrajes</v>
          </cell>
          <cell r="C6">
            <v>7609465444</v>
          </cell>
        </row>
        <row r="7">
          <cell r="A7" t="str">
            <v>4.01.01.03.002</v>
          </cell>
          <cell r="B7" t="str">
            <v>Descuentos de herrajes</v>
          </cell>
          <cell r="C7">
            <v>-808818306</v>
          </cell>
        </row>
        <row r="8">
          <cell r="A8" t="str">
            <v>4.01.01.04.001</v>
          </cell>
          <cell r="B8" t="str">
            <v>Ventas construccion en seco</v>
          </cell>
          <cell r="C8">
            <v>18589258454</v>
          </cell>
        </row>
        <row r="9">
          <cell r="A9" t="str">
            <v>4.01.01.04.002</v>
          </cell>
          <cell r="B9" t="str">
            <v>Descuentos de construccion en seco</v>
          </cell>
          <cell r="C9">
            <v>-3342371415</v>
          </cell>
        </row>
        <row r="10">
          <cell r="A10" t="str">
            <v>4.01.01.05.001</v>
          </cell>
          <cell r="B10" t="str">
            <v>Ventas carpinteria de aluminio</v>
          </cell>
          <cell r="C10">
            <v>29565171651</v>
          </cell>
        </row>
        <row r="11">
          <cell r="A11" t="str">
            <v>4.01.01.06.001</v>
          </cell>
          <cell r="B11" t="str">
            <v>Ventas siliconas</v>
          </cell>
          <cell r="C11">
            <v>8837070</v>
          </cell>
        </row>
        <row r="12">
          <cell r="A12" t="str">
            <v>4.01.01.06.002</v>
          </cell>
          <cell r="B12" t="str">
            <v>Descuentos de siliconas</v>
          </cell>
          <cell r="C12">
            <v>-439163</v>
          </cell>
        </row>
        <row r="13">
          <cell r="A13" t="str">
            <v>4.01.01.07.001</v>
          </cell>
          <cell r="B13" t="str">
            <v>Ventas insumos</v>
          </cell>
          <cell r="C13">
            <v>39435606</v>
          </cell>
        </row>
        <row r="14">
          <cell r="A14" t="str">
            <v>4.01.01.07.003</v>
          </cell>
          <cell r="B14" t="str">
            <v>Descuentos de insumos</v>
          </cell>
          <cell r="C14">
            <v>-1705553</v>
          </cell>
        </row>
        <row r="15">
          <cell r="A15" t="str">
            <v>4.01.01.09.002</v>
          </cell>
          <cell r="B15" t="str">
            <v>Ventas de equipos para la venta</v>
          </cell>
          <cell r="C15">
            <v>462087349</v>
          </cell>
        </row>
        <row r="16">
          <cell r="A16" t="str">
            <v>4.01.01.09.003</v>
          </cell>
          <cell r="B16" t="str">
            <v>Ventas Marketing</v>
          </cell>
          <cell r="C16">
            <v>29859344</v>
          </cell>
        </row>
        <row r="17">
          <cell r="A17" t="str">
            <v>4.01.01.09.004</v>
          </cell>
          <cell r="B17" t="str">
            <v>Ventas de retazos</v>
          </cell>
          <cell r="C17">
            <v>67695675</v>
          </cell>
        </row>
        <row r="18">
          <cell r="A18" t="str">
            <v>4.01.01.09.006</v>
          </cell>
          <cell r="B18" t="str">
            <v>Ventas de mercaderias importadas</v>
          </cell>
          <cell r="C18">
            <v>4700105318</v>
          </cell>
        </row>
        <row r="19">
          <cell r="A19" t="str">
            <v>4.01.01.09.007</v>
          </cell>
          <cell r="B19" t="str">
            <v>Ventas de mercaderias locales</v>
          </cell>
          <cell r="C19">
            <v>531436670</v>
          </cell>
        </row>
        <row r="20">
          <cell r="A20" t="str">
            <v>4.01.02.01.001</v>
          </cell>
          <cell r="B20" t="str">
            <v>Ventas procesados</v>
          </cell>
          <cell r="C20">
            <v>51297840639</v>
          </cell>
        </row>
        <row r="21">
          <cell r="A21" t="str">
            <v>4.01.02.01.003</v>
          </cell>
          <cell r="B21" t="str">
            <v>Descuentos de productos procesados</v>
          </cell>
          <cell r="C21">
            <v>-908423513</v>
          </cell>
        </row>
        <row r="22">
          <cell r="A22" t="str">
            <v>4.01.02.01.005</v>
          </cell>
          <cell r="B22" t="str">
            <v>Ventas de productos estandar</v>
          </cell>
          <cell r="C22">
            <v>1469836171</v>
          </cell>
        </row>
        <row r="23">
          <cell r="A23" t="str">
            <v>4.01.03.01.001</v>
          </cell>
          <cell r="B23" t="str">
            <v>Ventas obras</v>
          </cell>
          <cell r="C23">
            <v>11217008931</v>
          </cell>
        </row>
        <row r="24">
          <cell r="A24" t="str">
            <v>4.01.04.01.004</v>
          </cell>
          <cell r="B24" t="str">
            <v>Descuentos ventas servicios</v>
          </cell>
          <cell r="C24">
            <v>-39339333</v>
          </cell>
        </row>
        <row r="25">
          <cell r="A25" t="str">
            <v>4.01.04.01.005</v>
          </cell>
          <cell r="B25" t="str">
            <v>Ventas servicios aereos</v>
          </cell>
          <cell r="C25">
            <v>506371162</v>
          </cell>
        </row>
        <row r="26">
          <cell r="A26" t="str">
            <v>4.01.04.01.006</v>
          </cell>
          <cell r="B26" t="str">
            <v>Ventas servicios entrega</v>
          </cell>
          <cell r="C26">
            <v>2348249</v>
          </cell>
        </row>
        <row r="27">
          <cell r="A27" t="str">
            <v>4.01.05.01.005</v>
          </cell>
          <cell r="B27" t="str">
            <v>Flete exportacion</v>
          </cell>
          <cell r="C27">
            <v>47381113</v>
          </cell>
        </row>
        <row r="28">
          <cell r="A28" t="str">
            <v>4.01.05.01.006</v>
          </cell>
          <cell r="B28" t="str">
            <v>Seguro exportacion</v>
          </cell>
          <cell r="C28">
            <v>3490408</v>
          </cell>
        </row>
        <row r="29">
          <cell r="A29" t="str">
            <v>4.01.06.01.001</v>
          </cell>
          <cell r="B29" t="str">
            <v>Descuento volumen Glassber</v>
          </cell>
          <cell r="C29">
            <v>1792681092</v>
          </cell>
        </row>
        <row r="30">
          <cell r="A30" t="str">
            <v>4.01.06.01.002</v>
          </cell>
          <cell r="B30" t="str">
            <v>Descuento volumen Alukler</v>
          </cell>
          <cell r="C30">
            <v>2276560481</v>
          </cell>
        </row>
        <row r="31">
          <cell r="A31" t="str">
            <v>4.01.06.02.001</v>
          </cell>
          <cell r="B31" t="str">
            <v>Ingresos participacion Chaco</v>
          </cell>
          <cell r="C31">
            <v>4678922890</v>
          </cell>
        </row>
        <row r="32">
          <cell r="A32" t="str">
            <v>5.01.01.01.001</v>
          </cell>
          <cell r="B32" t="str">
            <v>Costo vidrios crudos</v>
          </cell>
          <cell r="C32">
            <v>-2138350173</v>
          </cell>
        </row>
        <row r="33">
          <cell r="A33" t="str">
            <v>5.01.01.02.001</v>
          </cell>
          <cell r="B33" t="str">
            <v>Costo perfiles</v>
          </cell>
          <cell r="C33">
            <v>-12232285473</v>
          </cell>
        </row>
        <row r="34">
          <cell r="A34" t="str">
            <v>5.01.01.03.001</v>
          </cell>
          <cell r="B34" t="str">
            <v>Costo de ventas herrajes</v>
          </cell>
          <cell r="C34">
            <v>-4753365773</v>
          </cell>
        </row>
        <row r="35">
          <cell r="A35" t="str">
            <v>5.01.01.04.001</v>
          </cell>
          <cell r="B35" t="str">
            <v>Costo de ventas construccion en seco</v>
          </cell>
          <cell r="C35">
            <v>-12721305241</v>
          </cell>
        </row>
        <row r="36">
          <cell r="A36" t="str">
            <v>5.01.01.05.001</v>
          </cell>
          <cell r="B36" t="str">
            <v>Costo de ventas carpinteria de aluminio</v>
          </cell>
          <cell r="C36">
            <v>-20854675948</v>
          </cell>
        </row>
        <row r="37">
          <cell r="A37" t="str">
            <v>5.01.01.06.001</v>
          </cell>
          <cell r="B37" t="str">
            <v>Costo de ventas silicona</v>
          </cell>
          <cell r="C37">
            <v>-5586595</v>
          </cell>
        </row>
        <row r="38">
          <cell r="A38" t="str">
            <v>5.01.01.07.001</v>
          </cell>
          <cell r="B38" t="str">
            <v>Costo de venta insumos</v>
          </cell>
          <cell r="C38">
            <v>-2075837</v>
          </cell>
        </row>
        <row r="39">
          <cell r="A39" t="str">
            <v>5.01.02.01.001</v>
          </cell>
          <cell r="B39" t="str">
            <v>Costos procesados</v>
          </cell>
          <cell r="C39">
            <v>-33837852407</v>
          </cell>
        </row>
        <row r="40">
          <cell r="A40" t="str">
            <v>5.01.02.01.002</v>
          </cell>
          <cell r="B40" t="str">
            <v>Costos de productos estandar</v>
          </cell>
          <cell r="C40">
            <v>-1288301172</v>
          </cell>
        </row>
        <row r="41">
          <cell r="A41" t="str">
            <v>5.01.02.02.002</v>
          </cell>
          <cell r="B41" t="str">
            <v>Costos gastos exportacion</v>
          </cell>
          <cell r="C41">
            <v>-98195554</v>
          </cell>
        </row>
        <row r="42">
          <cell r="A42" t="str">
            <v>5.01.03.01.001</v>
          </cell>
          <cell r="B42" t="str">
            <v>Costos de venta MKT</v>
          </cell>
          <cell r="C42">
            <v>-41346432</v>
          </cell>
        </row>
        <row r="43">
          <cell r="A43" t="str">
            <v>5.01.03.01.002</v>
          </cell>
          <cell r="B43" t="str">
            <v>Costos de venta equipos para la venta</v>
          </cell>
          <cell r="C43">
            <v>-297354449</v>
          </cell>
        </row>
        <row r="44">
          <cell r="A44" t="str">
            <v>5.01.03.01.004</v>
          </cell>
          <cell r="B44" t="str">
            <v>Costos de mercaderias importadas</v>
          </cell>
          <cell r="C44">
            <v>-3338159942</v>
          </cell>
        </row>
        <row r="45">
          <cell r="A45" t="str">
            <v>5.01.03.01.005</v>
          </cell>
          <cell r="B45" t="str">
            <v>Costos de mercaderias locales</v>
          </cell>
          <cell r="C45">
            <v>-412283991</v>
          </cell>
        </row>
        <row r="46">
          <cell r="A46" t="str">
            <v>5.01.03.04.003</v>
          </cell>
          <cell r="B46" t="str">
            <v>Costo servicio entrega</v>
          </cell>
          <cell r="C46">
            <v>-12953183</v>
          </cell>
        </row>
        <row r="47">
          <cell r="A47" t="str">
            <v>5.01.03.02.001</v>
          </cell>
          <cell r="B47" t="str">
            <v>Costo de ventas de obras</v>
          </cell>
          <cell r="C47">
            <v>-5455615233</v>
          </cell>
        </row>
        <row r="48">
          <cell r="A48" t="str">
            <v>5.01.03.03.001</v>
          </cell>
          <cell r="B48" t="str">
            <v>Costos de Retazos</v>
          </cell>
          <cell r="C48">
            <v>-62670183</v>
          </cell>
        </row>
        <row r="49">
          <cell r="A49" t="str">
            <v>5.01.03.03.003</v>
          </cell>
          <cell r="B49" t="str">
            <v>Costos saldo Vilux</v>
          </cell>
          <cell r="C49">
            <v>125</v>
          </cell>
        </row>
        <row r="50">
          <cell r="A50" t="str">
            <v>5.01.03.04.001</v>
          </cell>
          <cell r="B50" t="str">
            <v>Costos de Servicios Aeronave combustible</v>
          </cell>
          <cell r="C50">
            <v>-135096850</v>
          </cell>
        </row>
        <row r="51">
          <cell r="A51" t="str">
            <v>5.01.03.04.002</v>
          </cell>
          <cell r="B51" t="str">
            <v>Costo de servicios aeronave piloto</v>
          </cell>
          <cell r="C51">
            <v>-78858639</v>
          </cell>
        </row>
        <row r="52">
          <cell r="A52" t="str">
            <v>6.01.01.01.001</v>
          </cell>
          <cell r="B52" t="str">
            <v>Sueldos y Jornales</v>
          </cell>
          <cell r="C52">
            <v>-12973362025</v>
          </cell>
        </row>
        <row r="53">
          <cell r="A53" t="str">
            <v>6.01.01.01.002</v>
          </cell>
          <cell r="B53" t="str">
            <v>Horas Extras</v>
          </cell>
          <cell r="C53">
            <v>-179469381</v>
          </cell>
        </row>
        <row r="54">
          <cell r="A54" t="str">
            <v>6.01.01.01.003</v>
          </cell>
          <cell r="B54" t="str">
            <v>Complemento horario nocturno</v>
          </cell>
          <cell r="C54">
            <v>-66874293</v>
          </cell>
        </row>
        <row r="55">
          <cell r="A55" t="str">
            <v>6.01.01.01.004</v>
          </cell>
          <cell r="B55" t="str">
            <v>Otros beneficios IPS</v>
          </cell>
          <cell r="C55">
            <v>-58303447</v>
          </cell>
        </row>
        <row r="56">
          <cell r="A56" t="str">
            <v>6.01.01.01.005</v>
          </cell>
          <cell r="B56" t="str">
            <v>Comisiones pagadas IPS</v>
          </cell>
          <cell r="C56">
            <v>-578620652</v>
          </cell>
        </row>
        <row r="57">
          <cell r="A57" t="str">
            <v>6.01.01.01.006</v>
          </cell>
          <cell r="B57" t="str">
            <v>Vacaciones</v>
          </cell>
          <cell r="C57">
            <v>-548614060</v>
          </cell>
        </row>
        <row r="58">
          <cell r="A58" t="str">
            <v>6.01.01.01.007</v>
          </cell>
          <cell r="B58" t="str">
            <v>Aguinaldo</v>
          </cell>
          <cell r="C58">
            <v>-1323551527</v>
          </cell>
        </row>
        <row r="59">
          <cell r="A59" t="str">
            <v>6.01.01.01.008</v>
          </cell>
          <cell r="B59" t="str">
            <v>Gratificaciones</v>
          </cell>
          <cell r="C59">
            <v>-92228283</v>
          </cell>
        </row>
        <row r="60">
          <cell r="A60" t="str">
            <v>6.01.01.01.010</v>
          </cell>
          <cell r="B60" t="str">
            <v>Preaviso</v>
          </cell>
          <cell r="C60">
            <v>-103556330</v>
          </cell>
        </row>
        <row r="61">
          <cell r="A61" t="str">
            <v>6.01.01.01.011</v>
          </cell>
          <cell r="B61" t="str">
            <v>Indemnizacion</v>
          </cell>
          <cell r="C61">
            <v>-203600103</v>
          </cell>
        </row>
        <row r="62">
          <cell r="A62" t="str">
            <v>6.01.01.01.012</v>
          </cell>
          <cell r="B62" t="str">
            <v>Aporte Patronal</v>
          </cell>
          <cell r="C62">
            <v>-2439093737</v>
          </cell>
        </row>
        <row r="63">
          <cell r="A63" t="str">
            <v>6.01.01.01.013</v>
          </cell>
          <cell r="B63" t="str">
            <v>Bonificacion Familiar</v>
          </cell>
          <cell r="C63">
            <v>-223359653</v>
          </cell>
        </row>
        <row r="64">
          <cell r="A64" t="str">
            <v>6.01.01.02.001</v>
          </cell>
          <cell r="B64" t="str">
            <v>Servicios personales</v>
          </cell>
          <cell r="C64">
            <v>-1049497780</v>
          </cell>
        </row>
        <row r="65">
          <cell r="A65" t="str">
            <v>6.01.01.02.002</v>
          </cell>
          <cell r="B65" t="str">
            <v>Comisiones pagadas Servicios</v>
          </cell>
          <cell r="C65">
            <v>-99753398</v>
          </cell>
        </row>
        <row r="66">
          <cell r="A66" t="str">
            <v>6.01.01.03.001</v>
          </cell>
          <cell r="B66" t="str">
            <v>Remuneracion Personal Superior</v>
          </cell>
          <cell r="C66">
            <v>-549545463</v>
          </cell>
        </row>
        <row r="67">
          <cell r="A67" t="str">
            <v>6.01.01.04.001</v>
          </cell>
          <cell r="B67" t="str">
            <v>Capacitacion del personal</v>
          </cell>
          <cell r="C67">
            <v>-74172177</v>
          </cell>
        </row>
        <row r="68">
          <cell r="A68" t="str">
            <v>6.01.01.04.003</v>
          </cell>
          <cell r="B68" t="str">
            <v>Seguro Medico</v>
          </cell>
          <cell r="C68">
            <v>-120484526</v>
          </cell>
        </row>
        <row r="69">
          <cell r="A69" t="str">
            <v>6.01.01.04.004</v>
          </cell>
          <cell r="B69" t="str">
            <v>Beneficios almuerzos</v>
          </cell>
          <cell r="C69">
            <v>-563920660</v>
          </cell>
        </row>
        <row r="70">
          <cell r="A70" t="str">
            <v>6.01.01.04.005</v>
          </cell>
          <cell r="B70" t="str">
            <v>Beneficios uniformes</v>
          </cell>
          <cell r="C70">
            <v>-106093704</v>
          </cell>
        </row>
        <row r="71">
          <cell r="A71" t="str">
            <v>6.01.01.04.007</v>
          </cell>
          <cell r="B71" t="str">
            <v>Eventos RRHH</v>
          </cell>
          <cell r="C71">
            <v>-104503302</v>
          </cell>
        </row>
        <row r="72">
          <cell r="A72" t="str">
            <v>6.01.01.04.008</v>
          </cell>
          <cell r="B72" t="str">
            <v>Campa¤as internas RRHH</v>
          </cell>
          <cell r="C72">
            <v>-17854859</v>
          </cell>
        </row>
        <row r="73">
          <cell r="A73" t="str">
            <v>6.01.01.04.009</v>
          </cell>
          <cell r="B73" t="str">
            <v>Busqueda y seleccion de personal</v>
          </cell>
          <cell r="C73">
            <v>-124464300</v>
          </cell>
        </row>
        <row r="74">
          <cell r="A74" t="str">
            <v>6.01.01.04.010</v>
          </cell>
          <cell r="B74" t="str">
            <v>Otros gastos RRHH</v>
          </cell>
          <cell r="C74">
            <v>-21789307</v>
          </cell>
        </row>
        <row r="75">
          <cell r="A75" t="str">
            <v>6.01.01.04.012</v>
          </cell>
          <cell r="B75" t="str">
            <v>Otros Beneficios</v>
          </cell>
          <cell r="C75">
            <v>-47317912</v>
          </cell>
        </row>
        <row r="76">
          <cell r="A76" t="str">
            <v>6.01.01.05.001</v>
          </cell>
          <cell r="B76" t="str">
            <v>Honorarios Auditoria Externa</v>
          </cell>
          <cell r="C76">
            <v>-93504845</v>
          </cell>
        </row>
        <row r="77">
          <cell r="A77" t="str">
            <v>6.01.01.05.002</v>
          </cell>
          <cell r="B77" t="str">
            <v>Honorarios Legales</v>
          </cell>
          <cell r="C77">
            <v>-341667801</v>
          </cell>
        </row>
        <row r="78">
          <cell r="A78" t="str">
            <v>6.01.01.05.003</v>
          </cell>
          <cell r="B78" t="str">
            <v>Honorarios Servicios Asesores</v>
          </cell>
          <cell r="C78">
            <v>-49243448</v>
          </cell>
        </row>
        <row r="79">
          <cell r="A79" t="str">
            <v>6.01.01.05.004</v>
          </cell>
          <cell r="B79" t="str">
            <v>Prestaciones de terceros</v>
          </cell>
          <cell r="C79">
            <v>-647670145</v>
          </cell>
        </row>
        <row r="80">
          <cell r="A80" t="str">
            <v>6.01.01.05.005</v>
          </cell>
          <cell r="B80" t="str">
            <v>Honorarios Sindicos</v>
          </cell>
          <cell r="C80">
            <v>-1649997</v>
          </cell>
        </row>
        <row r="81">
          <cell r="A81" t="str">
            <v>6.01.01.05.006</v>
          </cell>
          <cell r="B81" t="str">
            <v>Honorarios Legales Judiciales</v>
          </cell>
          <cell r="C81">
            <v>-66926763</v>
          </cell>
        </row>
        <row r="82">
          <cell r="A82" t="str">
            <v>6.01.01.06.001</v>
          </cell>
          <cell r="B82" t="str">
            <v>Consumo electricidad</v>
          </cell>
          <cell r="C82">
            <v>-1574154193</v>
          </cell>
        </row>
        <row r="83">
          <cell r="A83" t="str">
            <v>6.01.01.06.002</v>
          </cell>
          <cell r="B83" t="str">
            <v>Servicios de comunicaciones</v>
          </cell>
          <cell r="C83">
            <v>-276465373</v>
          </cell>
        </row>
        <row r="84">
          <cell r="A84" t="str">
            <v>6.01.01.06.003</v>
          </cell>
          <cell r="B84" t="str">
            <v>Otros Servicios</v>
          </cell>
          <cell r="C84">
            <v>-42582569</v>
          </cell>
        </row>
        <row r="85">
          <cell r="A85" t="str">
            <v>6.01.01.06.004</v>
          </cell>
          <cell r="B85" t="str">
            <v>Consumo Agua</v>
          </cell>
          <cell r="C85">
            <v>-314299</v>
          </cell>
        </row>
        <row r="86">
          <cell r="A86" t="str">
            <v>6.01.01.07.001</v>
          </cell>
          <cell r="B86" t="str">
            <v>Usufructo de Inmuebles</v>
          </cell>
          <cell r="C86">
            <v>-2643234660</v>
          </cell>
        </row>
        <row r="87">
          <cell r="A87" t="str">
            <v>6.01.01.07.002</v>
          </cell>
          <cell r="B87" t="str">
            <v>Alquileres de Inmuebles</v>
          </cell>
          <cell r="C87">
            <v>-12857142</v>
          </cell>
        </row>
        <row r="88">
          <cell r="A88" t="str">
            <v>6.01.01.07.003</v>
          </cell>
          <cell r="B88" t="str">
            <v>Leasing de Maquinas y Equipos</v>
          </cell>
          <cell r="C88">
            <v>-49531145</v>
          </cell>
        </row>
        <row r="89">
          <cell r="A89" t="str">
            <v>6.01.01.07.005</v>
          </cell>
          <cell r="B89" t="str">
            <v>Otros Alquileres</v>
          </cell>
          <cell r="C89">
            <v>-173250632</v>
          </cell>
        </row>
        <row r="90">
          <cell r="A90" t="str">
            <v>6.01.01.07.006</v>
          </cell>
          <cell r="B90" t="str">
            <v>Alquiler de maquinarias</v>
          </cell>
          <cell r="C90">
            <v>-1390912056</v>
          </cell>
        </row>
        <row r="91">
          <cell r="A91" t="str">
            <v>6.01.01.08.001</v>
          </cell>
          <cell r="B91" t="str">
            <v>Comisiones Tarjeta de credito</v>
          </cell>
          <cell r="C91">
            <v>-144649334</v>
          </cell>
        </row>
        <row r="92">
          <cell r="A92" t="str">
            <v>6.01.01.09.001</v>
          </cell>
          <cell r="B92" t="str">
            <v>Publicidad y Marketing</v>
          </cell>
          <cell r="C92">
            <v>-408691635</v>
          </cell>
        </row>
        <row r="93">
          <cell r="A93" t="str">
            <v>6.01.01.09.003</v>
          </cell>
          <cell r="B93" t="str">
            <v>Eventos MKT</v>
          </cell>
          <cell r="C93">
            <v>-8503410</v>
          </cell>
        </row>
        <row r="94">
          <cell r="A94" t="str">
            <v>6.01.01.09.004</v>
          </cell>
          <cell r="B94" t="str">
            <v>Desarrollos nuevos productos MKT</v>
          </cell>
          <cell r="C94">
            <v>-37828161</v>
          </cell>
        </row>
        <row r="95">
          <cell r="A95" t="str">
            <v>6.01.01.09.005</v>
          </cell>
          <cell r="B95" t="str">
            <v>Estudios de Mercado</v>
          </cell>
          <cell r="C95">
            <v>-92727</v>
          </cell>
        </row>
        <row r="96">
          <cell r="A96" t="str">
            <v>6.01.01.09.006</v>
          </cell>
          <cell r="B96" t="str">
            <v>Servicios de Imprenta</v>
          </cell>
          <cell r="C96">
            <v>-9802268</v>
          </cell>
        </row>
        <row r="97">
          <cell r="A97" t="str">
            <v>6.01.01.09.008</v>
          </cell>
          <cell r="B97" t="str">
            <v>Merchandising</v>
          </cell>
          <cell r="C97">
            <v>-124330017</v>
          </cell>
        </row>
        <row r="98">
          <cell r="A98" t="str">
            <v>6.01.01.09.009</v>
          </cell>
          <cell r="B98" t="str">
            <v>Obsequios otorgados</v>
          </cell>
          <cell r="C98">
            <v>-4938090</v>
          </cell>
        </row>
        <row r="99">
          <cell r="A99" t="str">
            <v>6.01.01.09.010</v>
          </cell>
          <cell r="B99" t="str">
            <v>Gastos Varios MKT</v>
          </cell>
          <cell r="C99">
            <v>-5347687</v>
          </cell>
        </row>
        <row r="100">
          <cell r="A100" t="str">
            <v>6.01.01.09.011</v>
          </cell>
          <cell r="B100" t="str">
            <v>Talleres y entrenamientos MKT</v>
          </cell>
          <cell r="C100">
            <v>-54545</v>
          </cell>
        </row>
        <row r="101">
          <cell r="A101" t="str">
            <v>6.01.01.09.012</v>
          </cell>
          <cell r="B101" t="str">
            <v>Beneficio a Clientes por Carteles</v>
          </cell>
          <cell r="C101">
            <v>-175539547</v>
          </cell>
        </row>
        <row r="102">
          <cell r="A102" t="str">
            <v>6.01.01.09.013</v>
          </cell>
          <cell r="B102" t="str">
            <v>Eventos Institucionales</v>
          </cell>
          <cell r="C102">
            <v>-724531</v>
          </cell>
        </row>
        <row r="103">
          <cell r="A103" t="str">
            <v>6.01.01.09.014</v>
          </cell>
          <cell r="B103" t="str">
            <v>Beneficio Plan de Fidelizacion Instaladores Aliado</v>
          </cell>
          <cell r="C103">
            <v>-6537273</v>
          </cell>
        </row>
        <row r="104">
          <cell r="A104" t="str">
            <v>6.01.01.10.001</v>
          </cell>
          <cell r="B104" t="str">
            <v>Seguros rodados</v>
          </cell>
          <cell r="C104">
            <v>-62102266</v>
          </cell>
        </row>
        <row r="105">
          <cell r="A105" t="str">
            <v>6.01.01.10.002</v>
          </cell>
          <cell r="B105" t="str">
            <v>Seguros patrimoniales</v>
          </cell>
          <cell r="C105">
            <v>-170193329</v>
          </cell>
        </row>
        <row r="106">
          <cell r="A106" t="str">
            <v>6.01.01.10.003</v>
          </cell>
          <cell r="B106" t="str">
            <v>Seguros varios</v>
          </cell>
          <cell r="C106">
            <v>-66855904</v>
          </cell>
        </row>
        <row r="107">
          <cell r="A107" t="str">
            <v>6.01.01.10.004</v>
          </cell>
          <cell r="B107" t="str">
            <v>Seguros mercaderias en transito</v>
          </cell>
          <cell r="C107">
            <v>-9024552</v>
          </cell>
        </row>
        <row r="108">
          <cell r="A108" t="str">
            <v>6.01.01.11.001</v>
          </cell>
          <cell r="B108" t="str">
            <v>Mantenimiento inmuebles y edificios</v>
          </cell>
          <cell r="C108">
            <v>-361345259</v>
          </cell>
        </row>
        <row r="109">
          <cell r="A109" t="str">
            <v>6.01.01.11.002</v>
          </cell>
          <cell r="B109" t="str">
            <v>Mantenimiento automotores</v>
          </cell>
          <cell r="C109">
            <v>-156852772</v>
          </cell>
        </row>
        <row r="110">
          <cell r="A110" t="str">
            <v>6.01.01.11.003</v>
          </cell>
          <cell r="B110" t="str">
            <v>Mantenimiento sistemas</v>
          </cell>
          <cell r="C110">
            <v>-640907621</v>
          </cell>
        </row>
        <row r="111">
          <cell r="A111" t="str">
            <v>6.01.01.11.004</v>
          </cell>
          <cell r="B111" t="str">
            <v>Mantenimiento muebles y equipos</v>
          </cell>
          <cell r="C111">
            <v>-39194577</v>
          </cell>
        </row>
        <row r="112">
          <cell r="A112" t="str">
            <v>6.01.01.11.005</v>
          </cell>
          <cell r="B112" t="str">
            <v>Gastos de mermas</v>
          </cell>
          <cell r="C112">
            <v>-6540802454</v>
          </cell>
        </row>
        <row r="113">
          <cell r="A113" t="str">
            <v>6.01.01.11.007</v>
          </cell>
          <cell r="B113" t="str">
            <v>Mantenimiento preventivo maquinas y equipos planta</v>
          </cell>
          <cell r="C113">
            <v>-131345831</v>
          </cell>
        </row>
        <row r="114">
          <cell r="A114" t="str">
            <v>6.01.01.11.008</v>
          </cell>
          <cell r="B114" t="str">
            <v>Mantenimiento correctivo maquinas y equipos planta</v>
          </cell>
          <cell r="C114">
            <v>-842257603</v>
          </cell>
        </row>
        <row r="115">
          <cell r="A115" t="str">
            <v>6.01.01.11.009</v>
          </cell>
          <cell r="B115" t="str">
            <v>Herramientas y equipos</v>
          </cell>
          <cell r="C115">
            <v>-101255026</v>
          </cell>
        </row>
        <row r="116">
          <cell r="A116" t="str">
            <v>6.01.01.11.010</v>
          </cell>
          <cell r="B116" t="str">
            <v>Mantenimiento maquinarias</v>
          </cell>
          <cell r="C116">
            <v>-62418405</v>
          </cell>
        </row>
        <row r="117">
          <cell r="A117" t="str">
            <v>6.01.01.11.011</v>
          </cell>
          <cell r="B117" t="str">
            <v>Gastos servicios tecnico tercerizado</v>
          </cell>
          <cell r="C117">
            <v>-121694863</v>
          </cell>
        </row>
        <row r="118">
          <cell r="A118" t="str">
            <v>6.01.01.11.012</v>
          </cell>
          <cell r="B118" t="str">
            <v>Mantenimiento Aeronave</v>
          </cell>
          <cell r="C118">
            <v>-118378200</v>
          </cell>
        </row>
        <row r="119">
          <cell r="A119" t="str">
            <v>6.01.01.11.014</v>
          </cell>
          <cell r="B119" t="str">
            <v>Gastos combustibles Aeronave</v>
          </cell>
          <cell r="C119">
            <v>-45394398</v>
          </cell>
        </row>
        <row r="120">
          <cell r="A120" t="str">
            <v>6.01.01.11.013</v>
          </cell>
          <cell r="B120" t="str">
            <v>Gastos operativos Aeronave</v>
          </cell>
          <cell r="C120">
            <v>-104015962</v>
          </cell>
        </row>
        <row r="121">
          <cell r="A121" t="str">
            <v>6.01.01.12.002</v>
          </cell>
          <cell r="B121" t="str">
            <v>Gastos de movilidad logistica</v>
          </cell>
          <cell r="C121">
            <v>-1025125081</v>
          </cell>
        </row>
        <row r="122">
          <cell r="A122" t="str">
            <v>6.01.01.12.003</v>
          </cell>
          <cell r="B122" t="str">
            <v>Gastos de distribucion</v>
          </cell>
          <cell r="C122">
            <v>-123528563</v>
          </cell>
        </row>
        <row r="123">
          <cell r="A123" t="str">
            <v>6.01.01.12.004</v>
          </cell>
          <cell r="B123" t="str">
            <v>Gastos de fletes</v>
          </cell>
          <cell r="C123">
            <v>-138565328</v>
          </cell>
        </row>
        <row r="124">
          <cell r="A124" t="str">
            <v>6.01.01.12.005</v>
          </cell>
          <cell r="B124" t="str">
            <v>Leasing rodados</v>
          </cell>
          <cell r="C124">
            <v>-2320049005</v>
          </cell>
        </row>
        <row r="125">
          <cell r="A125" t="str">
            <v>6.01.01.12.006</v>
          </cell>
          <cell r="B125" t="str">
            <v>Gastos de almacenamiento</v>
          </cell>
          <cell r="C125">
            <v>-13113847</v>
          </cell>
        </row>
        <row r="126">
          <cell r="A126" t="str">
            <v>6.01.01.12.007</v>
          </cell>
          <cell r="B126" t="str">
            <v>Gastos de reparto almacenamiento</v>
          </cell>
          <cell r="C126">
            <v>-608782574</v>
          </cell>
        </row>
        <row r="127">
          <cell r="A127" t="str">
            <v>6.01.01.13.001</v>
          </cell>
          <cell r="B127" t="str">
            <v>Acuerdos comerciales por producto</v>
          </cell>
          <cell r="C127">
            <v>-10000</v>
          </cell>
        </row>
        <row r="128">
          <cell r="A128" t="str">
            <v>6.01.01.13.002</v>
          </cell>
          <cell r="B128" t="str">
            <v>Acuerdos comerciales por zona</v>
          </cell>
          <cell r="C128">
            <v>-326495849</v>
          </cell>
        </row>
        <row r="129">
          <cell r="A129" t="str">
            <v>6.01.01.14.001</v>
          </cell>
          <cell r="B129" t="str">
            <v>Insumos de calidad CIPA</v>
          </cell>
          <cell r="C129">
            <v>-422501</v>
          </cell>
        </row>
        <row r="130">
          <cell r="A130" t="str">
            <v>6.01.01.14.003</v>
          </cell>
          <cell r="B130" t="str">
            <v>Equipos de proteccion</v>
          </cell>
          <cell r="C130">
            <v>-166063680</v>
          </cell>
        </row>
        <row r="131">
          <cell r="A131" t="str">
            <v>6.01.01.14.004</v>
          </cell>
          <cell r="B131" t="str">
            <v>Seguridad y vigilancia</v>
          </cell>
          <cell r="C131">
            <v>-461065156</v>
          </cell>
        </row>
        <row r="132">
          <cell r="A132" t="str">
            <v>6.01.01.14.005</v>
          </cell>
          <cell r="B132" t="str">
            <v>Gastos CIPA</v>
          </cell>
          <cell r="C132">
            <v>-13991902</v>
          </cell>
        </row>
        <row r="133">
          <cell r="A133" t="str">
            <v>6.01.01.15.002</v>
          </cell>
          <cell r="B133" t="str">
            <v>Estadias y viaticos</v>
          </cell>
          <cell r="C133">
            <v>-161472624</v>
          </cell>
        </row>
        <row r="134">
          <cell r="A134" t="str">
            <v>6.01.01.15.003</v>
          </cell>
          <cell r="B134" t="str">
            <v>Gastos de movilidad</v>
          </cell>
          <cell r="C134">
            <v>-273744054</v>
          </cell>
        </row>
        <row r="135">
          <cell r="A135" t="str">
            <v>6.01.01.16.001</v>
          </cell>
          <cell r="B135" t="str">
            <v>Utiles de oficina</v>
          </cell>
          <cell r="C135">
            <v>-70702768</v>
          </cell>
        </row>
        <row r="136">
          <cell r="A136" t="str">
            <v>6.01.01.16.002</v>
          </cell>
          <cell r="B136" t="str">
            <v>Publicaciones - Suscripciones</v>
          </cell>
          <cell r="C136">
            <v>-24426497</v>
          </cell>
        </row>
        <row r="137">
          <cell r="A137" t="str">
            <v>6.01.01.17.001</v>
          </cell>
          <cell r="B137" t="str">
            <v>Gastos de representacion local</v>
          </cell>
          <cell r="C137">
            <v>-9297501</v>
          </cell>
        </row>
        <row r="138">
          <cell r="A138" t="str">
            <v>6.01.01.17.002</v>
          </cell>
          <cell r="B138" t="str">
            <v>Gastos de representacion exterior</v>
          </cell>
          <cell r="C138">
            <v>-1917904</v>
          </cell>
        </row>
        <row r="139">
          <cell r="A139" t="str">
            <v>6.01.01.18.001</v>
          </cell>
          <cell r="B139" t="str">
            <v>Insumos de limpieza</v>
          </cell>
          <cell r="C139">
            <v>-81993504</v>
          </cell>
        </row>
        <row r="140">
          <cell r="A140" t="str">
            <v>6.01.01.18.002</v>
          </cell>
          <cell r="B140" t="str">
            <v>Insumos de refrigerios, agua, cafe</v>
          </cell>
          <cell r="C140">
            <v>-17850045</v>
          </cell>
        </row>
        <row r="141">
          <cell r="A141" t="str">
            <v>6.01.01.18.003</v>
          </cell>
          <cell r="B141" t="str">
            <v>Gastos varios</v>
          </cell>
          <cell r="C141">
            <v>-30701816</v>
          </cell>
        </row>
        <row r="142">
          <cell r="A142" t="str">
            <v>6.01.01.18.004</v>
          </cell>
          <cell r="B142" t="str">
            <v>Gastos de insumos menores</v>
          </cell>
          <cell r="C142">
            <v>-212599028</v>
          </cell>
        </row>
        <row r="143">
          <cell r="A143" t="str">
            <v>6.01.01.18.005</v>
          </cell>
          <cell r="B143" t="str">
            <v>Insumos produccion</v>
          </cell>
          <cell r="C143">
            <v>-926801236</v>
          </cell>
        </row>
        <row r="144">
          <cell r="A144" t="str">
            <v>6.01.01.19.001</v>
          </cell>
          <cell r="B144" t="str">
            <v>Patente comercial</v>
          </cell>
          <cell r="C144">
            <v>-194817399</v>
          </cell>
        </row>
        <row r="145">
          <cell r="A145" t="str">
            <v>6.01.01.19.003</v>
          </cell>
          <cell r="B145" t="str">
            <v>IVA gasto no deducible</v>
          </cell>
          <cell r="C145">
            <v>-14435316</v>
          </cell>
        </row>
        <row r="146">
          <cell r="A146" t="str">
            <v>6.01.01.19.004</v>
          </cell>
          <cell r="B146" t="str">
            <v>Impuestos inmobiliarios</v>
          </cell>
          <cell r="C146">
            <v>-54026675</v>
          </cell>
        </row>
        <row r="147">
          <cell r="A147" t="str">
            <v>6.01.01.19.005</v>
          </cell>
          <cell r="B147" t="str">
            <v>Otras tasas y contribuciones</v>
          </cell>
          <cell r="C147">
            <v>-3600623</v>
          </cell>
        </row>
        <row r="148">
          <cell r="A148" t="str">
            <v>6.01.01.19.006</v>
          </cell>
          <cell r="B148" t="str">
            <v>Otros impuestos</v>
          </cell>
          <cell r="C148">
            <v>-3555900</v>
          </cell>
        </row>
        <row r="149">
          <cell r="A149" t="str">
            <v>6.01.01.19.007</v>
          </cell>
          <cell r="B149" t="str">
            <v>Retencion impuesto a la renta</v>
          </cell>
          <cell r="C149">
            <v>-115883433</v>
          </cell>
        </row>
        <row r="150">
          <cell r="A150" t="str">
            <v>6.01.01.19.008</v>
          </cell>
          <cell r="B150" t="str">
            <v>Gastos Aranceles</v>
          </cell>
          <cell r="C150">
            <v>-22764555</v>
          </cell>
        </row>
        <row r="151">
          <cell r="A151" t="str">
            <v>6.01.01.20.001</v>
          </cell>
          <cell r="B151" t="str">
            <v>Aplicaci¢n sueldos, cargas y gastos produccion</v>
          </cell>
          <cell r="C151">
            <v>6067707095</v>
          </cell>
        </row>
        <row r="152">
          <cell r="A152" t="str">
            <v>6.01.03.01.001</v>
          </cell>
          <cell r="B152" t="str">
            <v>Depreciacion edificio</v>
          </cell>
          <cell r="C152">
            <v>-1480733199</v>
          </cell>
        </row>
        <row r="153">
          <cell r="A153" t="str">
            <v>6.01.03.01.002</v>
          </cell>
          <cell r="B153" t="str">
            <v>Depreciacion rodados</v>
          </cell>
          <cell r="C153">
            <v>-155392965</v>
          </cell>
        </row>
        <row r="154">
          <cell r="A154" t="str">
            <v>6.01.03.01.004</v>
          </cell>
          <cell r="B154" t="str">
            <v>Depreciacion maquinarias y equipos de planta</v>
          </cell>
          <cell r="C154">
            <v>-4230358686</v>
          </cell>
        </row>
        <row r="155">
          <cell r="A155" t="str">
            <v>6.01.03.01.003</v>
          </cell>
          <cell r="B155" t="str">
            <v>Depreciacion muebles y utiles</v>
          </cell>
          <cell r="C155">
            <v>-161171406</v>
          </cell>
        </row>
        <row r="156">
          <cell r="A156" t="str">
            <v>6.01.03.01.006</v>
          </cell>
          <cell r="B156" t="str">
            <v>Depreciacion equipos informaticos</v>
          </cell>
          <cell r="C156">
            <v>-281989836</v>
          </cell>
        </row>
        <row r="157">
          <cell r="A157" t="str">
            <v>6.01.03.01.007</v>
          </cell>
          <cell r="B157" t="str">
            <v>Depreciacion en mejoras en predio ajeno</v>
          </cell>
          <cell r="C157">
            <v>-65106207</v>
          </cell>
        </row>
        <row r="158">
          <cell r="A158" t="str">
            <v>6.01.03.01.008</v>
          </cell>
          <cell r="B158" t="str">
            <v>Depreciacion herramientas y equipos</v>
          </cell>
          <cell r="C158">
            <v>-30278547</v>
          </cell>
        </row>
        <row r="159">
          <cell r="A159" t="str">
            <v>6.01.03.01.009</v>
          </cell>
          <cell r="B159" t="str">
            <v>Depreciacion licencias informaticas</v>
          </cell>
          <cell r="C159">
            <v>-18802818</v>
          </cell>
        </row>
        <row r="160">
          <cell r="A160" t="str">
            <v>7.01.01.01.001</v>
          </cell>
          <cell r="B160" t="str">
            <v>Intereses bancarios cobrados</v>
          </cell>
          <cell r="C160">
            <v>90384159</v>
          </cell>
        </row>
        <row r="161">
          <cell r="A161" t="str">
            <v>7.01.01.01.002</v>
          </cell>
          <cell r="B161" t="str">
            <v>Intereses cobrados</v>
          </cell>
          <cell r="C161">
            <v>4087512</v>
          </cell>
        </row>
        <row r="162">
          <cell r="A162" t="str">
            <v>7.01.01.01.004</v>
          </cell>
          <cell r="B162" t="str">
            <v>Resultado por diferencia de cambio ganancia</v>
          </cell>
          <cell r="C162">
            <v>3714430007</v>
          </cell>
        </row>
        <row r="163">
          <cell r="A163" t="str">
            <v>7.01.01.01.005</v>
          </cell>
          <cell r="B163" t="str">
            <v>Resultado por movimiento de caja ingreso</v>
          </cell>
          <cell r="C163">
            <v>1385368101</v>
          </cell>
        </row>
        <row r="164">
          <cell r="A164" t="str">
            <v>7.01.01.03.001</v>
          </cell>
          <cell r="B164" t="str">
            <v>Ingresos varios</v>
          </cell>
          <cell r="C164">
            <v>780355654</v>
          </cell>
        </row>
        <row r="165">
          <cell r="A165" t="str">
            <v>7.01.01.03.002</v>
          </cell>
          <cell r="B165" t="str">
            <v>Alquileres cobrados</v>
          </cell>
          <cell r="C165">
            <v>7644000</v>
          </cell>
        </row>
        <row r="166">
          <cell r="A166" t="str">
            <v>7.01.01.03.003</v>
          </cell>
          <cell r="B166" t="str">
            <v>Cargos administrativos</v>
          </cell>
          <cell r="C166">
            <v>211710255</v>
          </cell>
        </row>
        <row r="167">
          <cell r="A167" t="str">
            <v>7.01.01.03.006</v>
          </cell>
          <cell r="B167" t="str">
            <v>Cargos administrativos judicial y extra judicial</v>
          </cell>
          <cell r="C167">
            <v>6397044</v>
          </cell>
        </row>
        <row r="168">
          <cell r="A168" t="str">
            <v>7.01.01.03.007</v>
          </cell>
          <cell r="B168" t="str">
            <v>Ingreso por recupero de gastos</v>
          </cell>
          <cell r="C168">
            <v>282731428</v>
          </cell>
        </row>
        <row r="169">
          <cell r="A169" t="str">
            <v>7.01.01.03.009</v>
          </cell>
          <cell r="B169" t="str">
            <v>Descuentos obtenidos</v>
          </cell>
          <cell r="C169">
            <v>177130091</v>
          </cell>
        </row>
        <row r="170">
          <cell r="A170" t="str">
            <v>7.01.01.04.001</v>
          </cell>
          <cell r="B170" t="str">
            <v>Descuento por acuerdo comercial</v>
          </cell>
          <cell r="C170">
            <v>-414649936</v>
          </cell>
        </row>
        <row r="171">
          <cell r="A171" t="str">
            <v>7.01.01.05.001</v>
          </cell>
          <cell r="B171" t="str">
            <v>Ganancia por diferencia de conversion</v>
          </cell>
          <cell r="C171">
            <v>10585703</v>
          </cell>
        </row>
        <row r="172">
          <cell r="A172" t="str">
            <v>8.01.01.01.001</v>
          </cell>
          <cell r="B172" t="str">
            <v>Intereses bancarios pagados</v>
          </cell>
          <cell r="C172">
            <v>-3474369386</v>
          </cell>
        </row>
        <row r="173">
          <cell r="A173" t="str">
            <v>8.01.01.01.002</v>
          </cell>
          <cell r="B173" t="str">
            <v>Intereses pagados</v>
          </cell>
          <cell r="C173">
            <v>-81072</v>
          </cell>
        </row>
        <row r="174">
          <cell r="A174" t="str">
            <v>8.01.01.01.004</v>
          </cell>
          <cell r="B174" t="str">
            <v>Diferencia de cambio perdida</v>
          </cell>
          <cell r="C174">
            <v>-4068055249</v>
          </cell>
        </row>
        <row r="175">
          <cell r="A175" t="str">
            <v>8.01.01.01.006</v>
          </cell>
          <cell r="B175" t="str">
            <v>Gastos bancarios</v>
          </cell>
          <cell r="C175">
            <v>-119555088</v>
          </cell>
        </row>
        <row r="176">
          <cell r="A176" t="str">
            <v>8.01.01.01.007</v>
          </cell>
          <cell r="B176" t="str">
            <v>Intereses Pagados por emision de Bonos</v>
          </cell>
          <cell r="C176">
            <v>-4663637852</v>
          </cell>
        </row>
        <row r="177">
          <cell r="A177" t="str">
            <v>8.01.01.01.008</v>
          </cell>
          <cell r="B177" t="str">
            <v>Comisiones bonos emitidos</v>
          </cell>
          <cell r="C177">
            <v>-195816416</v>
          </cell>
        </row>
        <row r="178">
          <cell r="A178" t="str">
            <v>8.01.01.02.002</v>
          </cell>
          <cell r="B178" t="str">
            <v>Egresos varios</v>
          </cell>
          <cell r="C178">
            <v>-213958931</v>
          </cell>
        </row>
        <row r="179">
          <cell r="A179" t="str">
            <v>8.01.01.02.004</v>
          </cell>
          <cell r="B179" t="str">
            <v>Gastos no deducibles</v>
          </cell>
          <cell r="C179">
            <v>-334377295</v>
          </cell>
        </row>
        <row r="180">
          <cell r="A180" t="str">
            <v>8.01.01.04.002</v>
          </cell>
          <cell r="B180" t="str">
            <v>Diferencia de inventario mercaderias</v>
          </cell>
          <cell r="C180">
            <v>49370552</v>
          </cell>
        </row>
        <row r="181">
          <cell r="A181" t="str">
            <v>8.01.01.04.006</v>
          </cell>
          <cell r="B181" t="str">
            <v>Diferencia por redondeo</v>
          </cell>
          <cell r="C181">
            <v>-281329</v>
          </cell>
        </row>
        <row r="182">
          <cell r="A182" t="str">
            <v>8.01.01.04.008</v>
          </cell>
          <cell r="B182" t="str">
            <v>Baja de inventario mercaderias obsoletas</v>
          </cell>
          <cell r="C182">
            <v>-8919595</v>
          </cell>
        </row>
        <row r="183">
          <cell r="A183" t="str">
            <v>8.01.01.04.009</v>
          </cell>
          <cell r="B183" t="str">
            <v>Diferencia de cambio movimiento caja</v>
          </cell>
          <cell r="C183">
            <v>-58065303</v>
          </cell>
        </row>
        <row r="184">
          <cell r="A184" t="str">
            <v>8.01.01.05.001</v>
          </cell>
          <cell r="B184" t="str">
            <v>Perdida por diferencia de conversion</v>
          </cell>
          <cell r="C184">
            <v>-10922968</v>
          </cell>
        </row>
        <row r="185">
          <cell r="A185" t="str">
            <v>8.02.01.01.001</v>
          </cell>
          <cell r="B185" t="str">
            <v>Impuesto a la Renta</v>
          </cell>
          <cell r="C185">
            <v>-346910808.60000002</v>
          </cell>
        </row>
        <row r="188">
          <cell r="C188">
            <v>3122197277.4000001</v>
          </cell>
        </row>
        <row r="189">
          <cell r="C189">
            <v>3313632112</v>
          </cell>
        </row>
        <row r="190">
          <cell r="C190">
            <v>-191434834.5999999</v>
          </cell>
        </row>
        <row r="194">
          <cell r="B194" t="str">
            <v>sin impuesto</v>
          </cell>
          <cell r="C194">
            <v>3469108086</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Hoja1"/>
      <sheetName val="re. 2022"/>
      <sheetName val="Hoja3"/>
      <sheetName val="2022"/>
      <sheetName val="Hoja6"/>
      <sheetName val="Hoja7"/>
      <sheetName val="Hoja9"/>
      <sheetName val="Hoja8"/>
      <sheetName val="Hoja2"/>
    </sheetNames>
    <sheetDataSet>
      <sheetData sheetId="0"/>
      <sheetData sheetId="1"/>
      <sheetData sheetId="2">
        <row r="3">
          <cell r="A3" t="str">
            <v>Etiquetas de fila</v>
          </cell>
          <cell r="B3" t="str">
            <v>Suma de Saldo</v>
          </cell>
        </row>
        <row r="4">
          <cell r="A4" t="str">
            <v>1.01.04.05.011</v>
          </cell>
          <cell r="B4">
            <v>500000</v>
          </cell>
        </row>
        <row r="5">
          <cell r="A5" t="str">
            <v>1.01.05.01.001</v>
          </cell>
          <cell r="B5">
            <v>0</v>
          </cell>
        </row>
        <row r="6">
          <cell r="A6" t="str">
            <v>1.02.04.03.001</v>
          </cell>
          <cell r="B6">
            <v>0</v>
          </cell>
        </row>
        <row r="7">
          <cell r="A7" t="str">
            <v>6.01.01.01.001</v>
          </cell>
          <cell r="B7">
            <v>16312408207</v>
          </cell>
        </row>
        <row r="8">
          <cell r="A8" t="str">
            <v>6.01.01.01.002</v>
          </cell>
          <cell r="B8">
            <v>201271185</v>
          </cell>
        </row>
        <row r="9">
          <cell r="A9" t="str">
            <v>6.01.01.01.003</v>
          </cell>
          <cell r="B9">
            <v>93961557</v>
          </cell>
        </row>
        <row r="10">
          <cell r="A10" t="str">
            <v>6.01.01.01.004</v>
          </cell>
          <cell r="B10">
            <v>102903992</v>
          </cell>
        </row>
        <row r="11">
          <cell r="A11" t="str">
            <v>6.01.01.01.005</v>
          </cell>
          <cell r="B11">
            <v>760556849</v>
          </cell>
        </row>
        <row r="12">
          <cell r="A12" t="str">
            <v>6.01.01.01.006</v>
          </cell>
          <cell r="B12">
            <v>498825312</v>
          </cell>
        </row>
        <row r="13">
          <cell r="A13" t="str">
            <v>6.01.01.01.007</v>
          </cell>
          <cell r="B13">
            <v>1500700848</v>
          </cell>
        </row>
        <row r="14">
          <cell r="A14" t="str">
            <v>6.01.01.01.008</v>
          </cell>
          <cell r="B14">
            <v>150855748</v>
          </cell>
        </row>
        <row r="15">
          <cell r="A15" t="str">
            <v>6.01.01.01.010</v>
          </cell>
          <cell r="B15">
            <v>92190278</v>
          </cell>
        </row>
        <row r="16">
          <cell r="A16" t="str">
            <v>6.01.01.01.011</v>
          </cell>
          <cell r="B16">
            <v>111995628</v>
          </cell>
        </row>
        <row r="17">
          <cell r="A17" t="str">
            <v>6.01.01.01.012</v>
          </cell>
          <cell r="B17">
            <v>3043133885</v>
          </cell>
        </row>
        <row r="18">
          <cell r="A18" t="str">
            <v>6.01.01.01.013</v>
          </cell>
          <cell r="B18">
            <v>264903940</v>
          </cell>
        </row>
        <row r="19">
          <cell r="A19" t="str">
            <v>6.01.01.02.001</v>
          </cell>
          <cell r="B19">
            <v>1166561640</v>
          </cell>
        </row>
        <row r="20">
          <cell r="A20" t="str">
            <v>6.01.01.02.002</v>
          </cell>
          <cell r="B20">
            <v>162114032</v>
          </cell>
        </row>
        <row r="21">
          <cell r="A21" t="str">
            <v>6.01.01.03.001</v>
          </cell>
          <cell r="B21">
            <v>776818190</v>
          </cell>
        </row>
        <row r="22">
          <cell r="A22" t="str">
            <v>6.01.01.04.001</v>
          </cell>
          <cell r="B22">
            <v>36093077</v>
          </cell>
        </row>
        <row r="23">
          <cell r="A23" t="str">
            <v>6.01.01.04.003</v>
          </cell>
          <cell r="B23">
            <v>134066424</v>
          </cell>
        </row>
        <row r="24">
          <cell r="A24" t="str">
            <v>6.01.01.04.004</v>
          </cell>
          <cell r="B24">
            <v>684573820</v>
          </cell>
        </row>
        <row r="25">
          <cell r="A25" t="str">
            <v>6.01.01.04.005</v>
          </cell>
          <cell r="B25">
            <v>26989268</v>
          </cell>
        </row>
        <row r="26">
          <cell r="A26" t="str">
            <v>6.01.01.04.007</v>
          </cell>
          <cell r="B26">
            <v>34861885</v>
          </cell>
        </row>
        <row r="27">
          <cell r="A27" t="str">
            <v>6.01.01.04.008</v>
          </cell>
          <cell r="B27">
            <v>10580312</v>
          </cell>
        </row>
        <row r="28">
          <cell r="A28" t="str">
            <v>6.01.01.04.009</v>
          </cell>
          <cell r="B28">
            <v>149156054</v>
          </cell>
        </row>
        <row r="29">
          <cell r="A29" t="str">
            <v>6.01.01.04.010</v>
          </cell>
          <cell r="B29">
            <v>15669945</v>
          </cell>
        </row>
        <row r="30">
          <cell r="A30" t="str">
            <v>6.01.01.04.012</v>
          </cell>
          <cell r="B30">
            <v>117808964</v>
          </cell>
        </row>
        <row r="31">
          <cell r="A31" t="str">
            <v>6.01.01.05.001</v>
          </cell>
          <cell r="B31">
            <v>119464855</v>
          </cell>
        </row>
        <row r="32">
          <cell r="A32" t="str">
            <v>6.01.01.05.002</v>
          </cell>
          <cell r="B32">
            <v>142916720</v>
          </cell>
        </row>
        <row r="33">
          <cell r="A33" t="str">
            <v>6.01.01.05.003</v>
          </cell>
          <cell r="B33">
            <v>54722608</v>
          </cell>
        </row>
        <row r="34">
          <cell r="A34" t="str">
            <v>6.01.01.05.004</v>
          </cell>
          <cell r="B34">
            <v>729571964</v>
          </cell>
        </row>
        <row r="35">
          <cell r="A35" t="str">
            <v>6.01.01.05.005</v>
          </cell>
          <cell r="B35">
            <v>4400000</v>
          </cell>
        </row>
        <row r="36">
          <cell r="A36" t="str">
            <v>6.01.01.05.006</v>
          </cell>
          <cell r="B36">
            <v>95672677</v>
          </cell>
        </row>
        <row r="37">
          <cell r="A37" t="str">
            <v>6.01.01.05.007</v>
          </cell>
          <cell r="B37">
            <v>22964024</v>
          </cell>
        </row>
        <row r="38">
          <cell r="A38" t="str">
            <v>6.01.01.06.001</v>
          </cell>
          <cell r="B38">
            <v>2208805777</v>
          </cell>
        </row>
        <row r="39">
          <cell r="A39" t="str">
            <v>6.01.01.06.002</v>
          </cell>
          <cell r="B39">
            <v>291721877</v>
          </cell>
        </row>
        <row r="40">
          <cell r="A40" t="str">
            <v>6.01.01.06.003</v>
          </cell>
          <cell r="B40">
            <v>57795041</v>
          </cell>
        </row>
        <row r="41">
          <cell r="A41" t="str">
            <v>6.01.01.06.004</v>
          </cell>
          <cell r="B41">
            <v>608858</v>
          </cell>
        </row>
        <row r="42">
          <cell r="A42" t="str">
            <v>6.01.01.07.001</v>
          </cell>
          <cell r="B42">
            <v>3502645508</v>
          </cell>
        </row>
        <row r="43">
          <cell r="A43" t="str">
            <v>6.01.01.07.002</v>
          </cell>
          <cell r="B43">
            <v>21428570</v>
          </cell>
        </row>
        <row r="44">
          <cell r="A44" t="str">
            <v>6.01.01.07.003</v>
          </cell>
          <cell r="B44">
            <v>93052280</v>
          </cell>
        </row>
        <row r="45">
          <cell r="A45" t="str">
            <v>6.01.01.07.005</v>
          </cell>
          <cell r="B45">
            <v>91587103</v>
          </cell>
        </row>
        <row r="46">
          <cell r="A46" t="str">
            <v>6.01.01.07.006</v>
          </cell>
          <cell r="B46">
            <v>1870344692</v>
          </cell>
        </row>
        <row r="47">
          <cell r="A47" t="str">
            <v>6.01.01.08.001</v>
          </cell>
          <cell r="B47">
            <v>177151565</v>
          </cell>
        </row>
        <row r="48">
          <cell r="A48" t="str">
            <v>6.01.01.09.001</v>
          </cell>
          <cell r="B48">
            <v>375661382</v>
          </cell>
        </row>
        <row r="49">
          <cell r="A49" t="str">
            <v>6.01.01.09.002</v>
          </cell>
          <cell r="B49">
            <v>41265899</v>
          </cell>
        </row>
        <row r="50">
          <cell r="A50" t="str">
            <v>6.01.01.09.003</v>
          </cell>
          <cell r="B50">
            <v>16448287</v>
          </cell>
        </row>
        <row r="51">
          <cell r="A51" t="str">
            <v>6.01.01.09.004</v>
          </cell>
          <cell r="B51">
            <v>19770744</v>
          </cell>
        </row>
        <row r="52">
          <cell r="A52" t="str">
            <v>6.01.01.09.006</v>
          </cell>
          <cell r="B52">
            <v>43349995</v>
          </cell>
        </row>
        <row r="53">
          <cell r="A53" t="str">
            <v>6.01.01.09.008</v>
          </cell>
          <cell r="B53">
            <v>81923587</v>
          </cell>
        </row>
        <row r="54">
          <cell r="A54" t="str">
            <v>6.01.01.09.009</v>
          </cell>
          <cell r="B54">
            <v>113623143</v>
          </cell>
        </row>
        <row r="55">
          <cell r="A55" t="str">
            <v>6.01.01.09.010</v>
          </cell>
          <cell r="B55">
            <v>2005111</v>
          </cell>
        </row>
        <row r="56">
          <cell r="A56" t="str">
            <v>6.01.01.09.011</v>
          </cell>
          <cell r="B56">
            <v>0</v>
          </cell>
        </row>
        <row r="57">
          <cell r="A57" t="str">
            <v>6.01.01.09.012</v>
          </cell>
          <cell r="B57">
            <v>188513923</v>
          </cell>
        </row>
        <row r="58">
          <cell r="A58" t="str">
            <v>6.01.01.09.013</v>
          </cell>
          <cell r="B58">
            <v>1277546</v>
          </cell>
        </row>
        <row r="59">
          <cell r="A59" t="str">
            <v>6.01.01.10.001</v>
          </cell>
          <cell r="B59">
            <v>66344230</v>
          </cell>
        </row>
        <row r="60">
          <cell r="A60" t="str">
            <v>6.01.01.10.002</v>
          </cell>
          <cell r="B60">
            <v>170735491</v>
          </cell>
        </row>
        <row r="61">
          <cell r="A61" t="str">
            <v>6.01.01.10.003</v>
          </cell>
          <cell r="B61">
            <v>55094517</v>
          </cell>
        </row>
        <row r="62">
          <cell r="A62" t="str">
            <v>6.01.01.10.004</v>
          </cell>
          <cell r="B62">
            <v>11118192</v>
          </cell>
        </row>
        <row r="63">
          <cell r="A63" t="str">
            <v>6.01.01.11.001</v>
          </cell>
          <cell r="B63">
            <v>204041401</v>
          </cell>
        </row>
        <row r="64">
          <cell r="A64" t="str">
            <v>6.01.01.11.002</v>
          </cell>
          <cell r="B64">
            <v>274078702</v>
          </cell>
        </row>
        <row r="65">
          <cell r="A65" t="str">
            <v>6.01.01.11.003</v>
          </cell>
          <cell r="B65">
            <v>1088874741</v>
          </cell>
        </row>
        <row r="66">
          <cell r="A66" t="str">
            <v>6.01.01.11.004</v>
          </cell>
          <cell r="B66">
            <v>111268142</v>
          </cell>
        </row>
        <row r="67">
          <cell r="A67" t="str">
            <v>6.01.01.11.005</v>
          </cell>
          <cell r="B67">
            <v>59584875</v>
          </cell>
        </row>
        <row r="68">
          <cell r="A68" t="str">
            <v>6.01.01.11.007</v>
          </cell>
          <cell r="B68">
            <v>126536280</v>
          </cell>
        </row>
        <row r="69">
          <cell r="A69" t="str">
            <v>6.01.01.11.008</v>
          </cell>
          <cell r="B69">
            <v>662118389</v>
          </cell>
        </row>
        <row r="70">
          <cell r="A70" t="str">
            <v>6.01.01.11.009</v>
          </cell>
          <cell r="B70">
            <v>25361520</v>
          </cell>
        </row>
        <row r="71">
          <cell r="A71" t="str">
            <v>6.01.01.11.010</v>
          </cell>
          <cell r="B71">
            <v>45589151</v>
          </cell>
        </row>
        <row r="72">
          <cell r="A72" t="str">
            <v>6.01.01.11.011</v>
          </cell>
          <cell r="B72">
            <v>114909462</v>
          </cell>
        </row>
        <row r="73">
          <cell r="A73" t="str">
            <v>6.01.01.11.012</v>
          </cell>
          <cell r="B73">
            <v>15940045</v>
          </cell>
        </row>
        <row r="74">
          <cell r="A74" t="str">
            <v>6.01.01.11.013</v>
          </cell>
          <cell r="B74">
            <v>89374848</v>
          </cell>
        </row>
        <row r="75">
          <cell r="A75" t="str">
            <v>6.01.01.11.014</v>
          </cell>
          <cell r="B75">
            <v>37550850</v>
          </cell>
        </row>
        <row r="76">
          <cell r="A76" t="str">
            <v>6.01.01.12.001</v>
          </cell>
          <cell r="B76">
            <v>0</v>
          </cell>
        </row>
        <row r="77">
          <cell r="A77" t="str">
            <v>6.01.01.12.002</v>
          </cell>
          <cell r="B77">
            <v>1278199881</v>
          </cell>
        </row>
        <row r="78">
          <cell r="A78" t="str">
            <v>6.01.01.12.003</v>
          </cell>
          <cell r="B78">
            <v>158646513</v>
          </cell>
        </row>
        <row r="79">
          <cell r="A79" t="str">
            <v>6.01.01.12.004</v>
          </cell>
          <cell r="B79">
            <v>298788165</v>
          </cell>
        </row>
        <row r="80">
          <cell r="A80" t="str">
            <v>6.01.01.12.005</v>
          </cell>
          <cell r="B80">
            <v>2942067704</v>
          </cell>
        </row>
        <row r="81">
          <cell r="A81" t="str">
            <v>6.01.01.12.006</v>
          </cell>
          <cell r="B81">
            <v>13967546</v>
          </cell>
        </row>
        <row r="82">
          <cell r="A82" t="str">
            <v>6.01.01.12.007</v>
          </cell>
          <cell r="B82">
            <v>736902059</v>
          </cell>
        </row>
        <row r="83">
          <cell r="A83" t="str">
            <v>6.01.01.12.008</v>
          </cell>
          <cell r="B83">
            <v>3758700</v>
          </cell>
        </row>
        <row r="84">
          <cell r="A84" t="str">
            <v>6.01.01.13.002</v>
          </cell>
          <cell r="B84">
            <v>0</v>
          </cell>
        </row>
        <row r="85">
          <cell r="A85" t="str">
            <v>6.01.01.14.001</v>
          </cell>
          <cell r="B85">
            <v>66552</v>
          </cell>
        </row>
        <row r="86">
          <cell r="A86" t="str">
            <v>6.01.01.14.002</v>
          </cell>
          <cell r="B86">
            <v>0</v>
          </cell>
        </row>
        <row r="87">
          <cell r="A87" t="str">
            <v>6.01.01.14.003</v>
          </cell>
          <cell r="B87">
            <v>41636663</v>
          </cell>
        </row>
        <row r="88">
          <cell r="A88" t="str">
            <v>6.01.01.14.004</v>
          </cell>
          <cell r="B88">
            <v>546431686</v>
          </cell>
        </row>
        <row r="89">
          <cell r="A89" t="str">
            <v>6.01.01.14.005</v>
          </cell>
          <cell r="B89">
            <v>26603639</v>
          </cell>
        </row>
        <row r="90">
          <cell r="A90" t="str">
            <v>6.01.01.15.002</v>
          </cell>
          <cell r="B90">
            <v>227797768</v>
          </cell>
        </row>
        <row r="91">
          <cell r="A91" t="str">
            <v>6.01.01.15.003</v>
          </cell>
          <cell r="B91">
            <v>525878643</v>
          </cell>
        </row>
        <row r="92">
          <cell r="A92" t="str">
            <v>6.01.01.16.001</v>
          </cell>
          <cell r="B92">
            <v>120671885</v>
          </cell>
        </row>
        <row r="93">
          <cell r="A93" t="str">
            <v>6.01.01.16.002</v>
          </cell>
          <cell r="B93">
            <v>20221477</v>
          </cell>
        </row>
        <row r="94">
          <cell r="A94" t="str">
            <v>6.01.01.17.001</v>
          </cell>
          <cell r="B94">
            <v>8998776</v>
          </cell>
        </row>
        <row r="95">
          <cell r="A95" t="str">
            <v>6.01.01.17.002</v>
          </cell>
          <cell r="B95">
            <v>0</v>
          </cell>
        </row>
        <row r="96">
          <cell r="A96" t="str">
            <v>6.01.01.18.001</v>
          </cell>
          <cell r="B96">
            <v>93745574</v>
          </cell>
        </row>
        <row r="97">
          <cell r="A97" t="str">
            <v>6.01.01.18.002</v>
          </cell>
          <cell r="B97">
            <v>14674224</v>
          </cell>
        </row>
        <row r="98">
          <cell r="A98" t="str">
            <v>6.01.01.18.003</v>
          </cell>
          <cell r="B98">
            <v>28079179</v>
          </cell>
        </row>
        <row r="99">
          <cell r="A99" t="str">
            <v>6.01.01.18.004</v>
          </cell>
          <cell r="B99">
            <v>918393964</v>
          </cell>
        </row>
        <row r="100">
          <cell r="A100" t="str">
            <v>6.01.01.18.005</v>
          </cell>
          <cell r="B100">
            <v>108615241</v>
          </cell>
        </row>
        <row r="101">
          <cell r="A101" t="str">
            <v>6.01.01.18.006</v>
          </cell>
          <cell r="B101">
            <v>157508901</v>
          </cell>
        </row>
        <row r="102">
          <cell r="A102" t="str">
            <v>6.01.01.18.007</v>
          </cell>
          <cell r="B102">
            <v>50000</v>
          </cell>
        </row>
        <row r="103">
          <cell r="A103" t="str">
            <v>6.01.01.19.001</v>
          </cell>
          <cell r="B103">
            <v>242826324</v>
          </cell>
        </row>
        <row r="104">
          <cell r="A104" t="str">
            <v>6.01.01.19.003</v>
          </cell>
          <cell r="B104">
            <v>3182408</v>
          </cell>
        </row>
        <row r="105">
          <cell r="A105" t="str">
            <v>6.01.01.19.004</v>
          </cell>
          <cell r="B105">
            <v>39495592</v>
          </cell>
        </row>
        <row r="106">
          <cell r="A106" t="str">
            <v>6.01.01.19.005</v>
          </cell>
          <cell r="B106">
            <v>2171585</v>
          </cell>
        </row>
        <row r="107">
          <cell r="A107" t="str">
            <v>6.01.01.19.006</v>
          </cell>
          <cell r="B107">
            <v>2585420</v>
          </cell>
        </row>
        <row r="108">
          <cell r="A108" t="str">
            <v>6.01.01.19.007</v>
          </cell>
          <cell r="B108">
            <v>0</v>
          </cell>
        </row>
        <row r="109">
          <cell r="A109" t="str">
            <v>6.01.01.19.008</v>
          </cell>
          <cell r="B109">
            <v>8428120</v>
          </cell>
        </row>
        <row r="110">
          <cell r="A110" t="str">
            <v>7.01.01.01.001</v>
          </cell>
          <cell r="B110">
            <v>0</v>
          </cell>
        </row>
        <row r="111">
          <cell r="A111" t="str">
            <v>7.01.01.01.002</v>
          </cell>
          <cell r="B111">
            <v>0</v>
          </cell>
        </row>
        <row r="112">
          <cell r="A112" t="str">
            <v>7.01.01.03.001</v>
          </cell>
          <cell r="B112">
            <v>-50023572</v>
          </cell>
        </row>
        <row r="113">
          <cell r="A113" t="str">
            <v>7.01.01.03.003</v>
          </cell>
          <cell r="B113">
            <v>0</v>
          </cell>
        </row>
        <row r="114">
          <cell r="A114" t="str">
            <v>7.01.01.03.006</v>
          </cell>
          <cell r="B114">
            <v>0</v>
          </cell>
        </row>
        <row r="115">
          <cell r="A115" t="str">
            <v>7.01.01.03.007</v>
          </cell>
          <cell r="B115">
            <v>0</v>
          </cell>
        </row>
        <row r="116">
          <cell r="A116" t="str">
            <v>8.01.01.01.001</v>
          </cell>
          <cell r="B116">
            <v>4302425548</v>
          </cell>
        </row>
        <row r="117">
          <cell r="A117" t="str">
            <v>8.01.01.01.004</v>
          </cell>
          <cell r="B117">
            <v>0</v>
          </cell>
        </row>
        <row r="118">
          <cell r="A118" t="str">
            <v>8.01.01.01.005</v>
          </cell>
          <cell r="B118">
            <v>24000</v>
          </cell>
        </row>
        <row r="119">
          <cell r="A119" t="str">
            <v>8.01.01.01.006</v>
          </cell>
          <cell r="B119">
            <v>591002762</v>
          </cell>
        </row>
        <row r="120">
          <cell r="A120" t="str">
            <v>8.01.01.01.007</v>
          </cell>
          <cell r="B120">
            <v>0</v>
          </cell>
        </row>
        <row r="121">
          <cell r="A121" t="str">
            <v>8.01.01.02.001</v>
          </cell>
          <cell r="B121">
            <v>184791</v>
          </cell>
        </row>
        <row r="122">
          <cell r="A122" t="str">
            <v>8.01.01.02.002</v>
          </cell>
          <cell r="B122">
            <v>392273651</v>
          </cell>
        </row>
        <row r="123">
          <cell r="A123" t="str">
            <v>8.01.01.02.003</v>
          </cell>
          <cell r="B123">
            <v>0</v>
          </cell>
        </row>
        <row r="124">
          <cell r="A124" t="str">
            <v>8.01.01.02.004</v>
          </cell>
          <cell r="B124">
            <v>364585490</v>
          </cell>
        </row>
        <row r="125">
          <cell r="A125" t="str">
            <v>8.01.01.02.005</v>
          </cell>
          <cell r="B125">
            <v>0</v>
          </cell>
        </row>
        <row r="126">
          <cell r="A126" t="str">
            <v>8.01.01.04.006</v>
          </cell>
          <cell r="B126">
            <v>0</v>
          </cell>
        </row>
        <row r="127">
          <cell r="A127" t="str">
            <v>Total general</v>
          </cell>
          <cell r="B127">
            <v>54147582471</v>
          </cell>
        </row>
      </sheetData>
      <sheetData sheetId="3"/>
      <sheetData sheetId="4"/>
      <sheetData sheetId="5">
        <row r="1">
          <cell r="B1" t="str">
            <v>Etiquetas de fila</v>
          </cell>
          <cell r="C1" t="str">
            <v>Total cuentas</v>
          </cell>
        </row>
        <row r="2">
          <cell r="B2" t="str">
            <v>financiero</v>
          </cell>
        </row>
        <row r="3">
          <cell r="B3" t="str">
            <v>Fletes de móviles</v>
          </cell>
          <cell r="C3">
            <v>0</v>
          </cell>
        </row>
        <row r="4">
          <cell r="B4" t="str">
            <v>6.01.01.12.004</v>
          </cell>
          <cell r="C4">
            <v>-401379548</v>
          </cell>
        </row>
        <row r="5">
          <cell r="B5" t="str">
            <v>6.01.01.12.005</v>
          </cell>
          <cell r="C5">
            <v>-2864796368</v>
          </cell>
        </row>
        <row r="6">
          <cell r="B6" t="str">
            <v>6.01.01.12.007</v>
          </cell>
          <cell r="C6">
            <v>-416295077</v>
          </cell>
        </row>
        <row r="7">
          <cell r="B7" t="str">
            <v>Gastos de alquileres</v>
          </cell>
          <cell r="C7">
            <v>0</v>
          </cell>
        </row>
        <row r="8">
          <cell r="B8" t="str">
            <v>6.01.01.07.001</v>
          </cell>
          <cell r="C8">
            <v>-3445225080</v>
          </cell>
        </row>
        <row r="9">
          <cell r="B9" t="str">
            <v>6.01.01.07.002</v>
          </cell>
          <cell r="C9">
            <v>-17428575</v>
          </cell>
        </row>
        <row r="10">
          <cell r="B10" t="str">
            <v>6.01.01.07.006</v>
          </cell>
          <cell r="C10">
            <v>-1533960420</v>
          </cell>
        </row>
        <row r="11">
          <cell r="B11" t="str">
            <v>Gastos de energía eléctrica</v>
          </cell>
          <cell r="C11">
            <v>0</v>
          </cell>
        </row>
        <row r="12">
          <cell r="B12" t="str">
            <v>6.01.01.06.001</v>
          </cell>
          <cell r="C12">
            <v>-1772523420</v>
          </cell>
        </row>
        <row r="13">
          <cell r="B13" t="str">
            <v>Gastos de reparación y mantenimiento</v>
          </cell>
          <cell r="C13">
            <v>0</v>
          </cell>
        </row>
        <row r="14">
          <cell r="B14" t="str">
            <v>6.01.01.07.003</v>
          </cell>
          <cell r="C14">
            <v>-159518184</v>
          </cell>
        </row>
        <row r="15">
          <cell r="B15" t="str">
            <v>6.01.01.11.001</v>
          </cell>
          <cell r="C15">
            <v>-338890340</v>
          </cell>
        </row>
        <row r="16">
          <cell r="B16" t="str">
            <v>6.01.01.11.002</v>
          </cell>
          <cell r="C16">
            <v>-247723085</v>
          </cell>
        </row>
        <row r="17">
          <cell r="B17" t="str">
            <v>6.01.01.11.003</v>
          </cell>
          <cell r="C17">
            <v>-717354009</v>
          </cell>
        </row>
        <row r="18">
          <cell r="B18" t="str">
            <v>6.01.01.11.004</v>
          </cell>
          <cell r="C18">
            <v>-75464369</v>
          </cell>
        </row>
        <row r="19">
          <cell r="B19" t="str">
            <v>6.01.01.11.007</v>
          </cell>
          <cell r="C19">
            <v>-488044417</v>
          </cell>
        </row>
        <row r="20">
          <cell r="B20" t="str">
            <v>6.01.01.11.008</v>
          </cell>
          <cell r="C20">
            <v>-353652779</v>
          </cell>
        </row>
        <row r="21">
          <cell r="B21" t="str">
            <v>6.01.01.11.010</v>
          </cell>
          <cell r="C21">
            <v>-36364</v>
          </cell>
        </row>
        <row r="22">
          <cell r="B22" t="str">
            <v>6.01.01.11.012</v>
          </cell>
          <cell r="C22">
            <v>0</v>
          </cell>
        </row>
        <row r="23">
          <cell r="B23" t="str">
            <v>Gastos del personal y capacitación</v>
          </cell>
          <cell r="C23">
            <v>0</v>
          </cell>
        </row>
        <row r="24">
          <cell r="B24" t="str">
            <v>6.01.01.01.001</v>
          </cell>
          <cell r="C24">
            <v>-15504442242</v>
          </cell>
        </row>
        <row r="25">
          <cell r="B25" t="str">
            <v>6.01.01.01.002</v>
          </cell>
          <cell r="C25">
            <v>-149812633</v>
          </cell>
        </row>
        <row r="26">
          <cell r="B26" t="str">
            <v>6.01.01.01.004</v>
          </cell>
          <cell r="C26">
            <v>-133683117</v>
          </cell>
        </row>
        <row r="27">
          <cell r="B27" t="str">
            <v>6.01.01.01.005</v>
          </cell>
          <cell r="C27">
            <v>-876351819</v>
          </cell>
        </row>
        <row r="28">
          <cell r="B28" t="str">
            <v>6.01.01.01.006</v>
          </cell>
          <cell r="C28">
            <v>-181819826</v>
          </cell>
        </row>
        <row r="29">
          <cell r="B29" t="str">
            <v>6.01.01.01.007</v>
          </cell>
          <cell r="C29">
            <v>-1394603733</v>
          </cell>
        </row>
        <row r="30">
          <cell r="B30" t="str">
            <v>6.01.01.01.008</v>
          </cell>
          <cell r="C30">
            <v>-135020420</v>
          </cell>
        </row>
        <row r="31">
          <cell r="B31" t="str">
            <v>6.01.01.01.010</v>
          </cell>
          <cell r="C31">
            <v>-28044774</v>
          </cell>
        </row>
        <row r="32">
          <cell r="B32" t="str">
            <v>6.01.01.01.011</v>
          </cell>
          <cell r="C32">
            <v>-183361800</v>
          </cell>
        </row>
        <row r="33">
          <cell r="B33" t="str">
            <v>6.01.01.01.012</v>
          </cell>
          <cell r="C33">
            <v>-2832068830</v>
          </cell>
        </row>
        <row r="34">
          <cell r="B34" t="str">
            <v>6.01.01.01.013</v>
          </cell>
          <cell r="C34">
            <v>-224906318</v>
          </cell>
        </row>
        <row r="35">
          <cell r="B35" t="str">
            <v>6.01.01.02.001</v>
          </cell>
          <cell r="C35">
            <v>-1390992346</v>
          </cell>
        </row>
        <row r="36">
          <cell r="B36" t="str">
            <v>6.01.01.02.002</v>
          </cell>
          <cell r="C36">
            <v>-250562885</v>
          </cell>
        </row>
        <row r="37">
          <cell r="B37" t="str">
            <v>6.01.01.03.001</v>
          </cell>
          <cell r="C37">
            <v>-667916666</v>
          </cell>
        </row>
        <row r="38">
          <cell r="B38" t="str">
            <v>6.01.01.04.001</v>
          </cell>
          <cell r="C38">
            <v>-55592803</v>
          </cell>
        </row>
        <row r="39">
          <cell r="B39" t="str">
            <v>6.01.01.04.003</v>
          </cell>
          <cell r="C39">
            <v>-121227256</v>
          </cell>
        </row>
        <row r="40">
          <cell r="B40" t="str">
            <v>6.01.01.04.004</v>
          </cell>
          <cell r="C40">
            <v>-598308604</v>
          </cell>
        </row>
        <row r="41">
          <cell r="B41" t="str">
            <v>6.01.01.04.005</v>
          </cell>
          <cell r="C41">
            <v>-16518380</v>
          </cell>
        </row>
        <row r="42">
          <cell r="B42" t="str">
            <v>6.01.01.04.007</v>
          </cell>
          <cell r="C42">
            <v>-28186680</v>
          </cell>
        </row>
        <row r="43">
          <cell r="B43" t="str">
            <v>6.01.01.04.008</v>
          </cell>
          <cell r="C43">
            <v>-9666327</v>
          </cell>
        </row>
        <row r="44">
          <cell r="B44" t="str">
            <v>6.01.01.04.009</v>
          </cell>
          <cell r="C44">
            <v>-177475927</v>
          </cell>
        </row>
        <row r="45">
          <cell r="B45" t="str">
            <v>6.01.01.04.010</v>
          </cell>
          <cell r="C45">
            <v>-78750344</v>
          </cell>
        </row>
        <row r="46">
          <cell r="B46" t="str">
            <v>6.01.01.04.012</v>
          </cell>
          <cell r="C46">
            <v>-9469470</v>
          </cell>
        </row>
        <row r="47">
          <cell r="B47" t="str">
            <v>Honorarios profesionales y asesoramiento</v>
          </cell>
          <cell r="C47">
            <v>0</v>
          </cell>
        </row>
        <row r="48">
          <cell r="B48" t="str">
            <v>6.01.01.05.001</v>
          </cell>
          <cell r="C48">
            <v>-101260479</v>
          </cell>
        </row>
        <row r="49">
          <cell r="B49" t="str">
            <v>6.01.01.05.002</v>
          </cell>
          <cell r="C49">
            <v>-129918243</v>
          </cell>
        </row>
        <row r="50">
          <cell r="B50" t="str">
            <v>6.01.01.05.003</v>
          </cell>
          <cell r="C50">
            <v>-48978810</v>
          </cell>
        </row>
        <row r="51">
          <cell r="B51" t="str">
            <v>6.01.01.05.004</v>
          </cell>
          <cell r="C51">
            <v>-712802860</v>
          </cell>
        </row>
        <row r="52">
          <cell r="B52" t="str">
            <v>6.01.01.05.005</v>
          </cell>
          <cell r="C52">
            <v>0</v>
          </cell>
        </row>
        <row r="53">
          <cell r="B53" t="str">
            <v>6.01.01.05.006</v>
          </cell>
          <cell r="C53">
            <v>-194709410</v>
          </cell>
        </row>
        <row r="54">
          <cell r="B54" t="str">
            <v>6.01.01.11.011</v>
          </cell>
          <cell r="C54">
            <v>-13897182</v>
          </cell>
        </row>
        <row r="55">
          <cell r="B55" t="str">
            <v>Impuestos y tasas</v>
          </cell>
          <cell r="C55">
            <v>0</v>
          </cell>
        </row>
        <row r="56">
          <cell r="B56" t="str">
            <v>6.01.01.19.001</v>
          </cell>
          <cell r="C56">
            <v>-245586324</v>
          </cell>
        </row>
        <row r="57">
          <cell r="B57" t="str">
            <v>6.01.01.19.004</v>
          </cell>
          <cell r="C57">
            <v>-39359072</v>
          </cell>
        </row>
        <row r="58">
          <cell r="B58" t="str">
            <v>6.01.01.19.006</v>
          </cell>
          <cell r="C58">
            <v>-2151000</v>
          </cell>
        </row>
        <row r="59">
          <cell r="B59" t="str">
            <v>6.01.01.19.007</v>
          </cell>
          <cell r="C59">
            <v>-123118316</v>
          </cell>
        </row>
        <row r="60">
          <cell r="B60" t="str">
            <v>Movilidad y viáticos</v>
          </cell>
          <cell r="C60">
            <v>0</v>
          </cell>
        </row>
        <row r="61">
          <cell r="B61" t="str">
            <v>6.01.01.12.001</v>
          </cell>
          <cell r="C61">
            <v>-227655564</v>
          </cell>
        </row>
        <row r="62">
          <cell r="B62" t="str">
            <v>6.01.01.12.002</v>
          </cell>
          <cell r="C62">
            <v>-614826190</v>
          </cell>
        </row>
        <row r="63">
          <cell r="B63" t="str">
            <v>6.01.01.15.002</v>
          </cell>
          <cell r="C63">
            <v>-105205782</v>
          </cell>
        </row>
        <row r="64">
          <cell r="B64" t="str">
            <v>6.01.01.15.003</v>
          </cell>
          <cell r="C64">
            <v>-324188777</v>
          </cell>
        </row>
        <row r="65">
          <cell r="B65" t="str">
            <v>Otros gastos de operación</v>
          </cell>
          <cell r="C65">
            <v>0</v>
          </cell>
        </row>
        <row r="66">
          <cell r="B66" t="str">
            <v>6.01.01.01.003</v>
          </cell>
          <cell r="C66">
            <v>-88282012</v>
          </cell>
        </row>
        <row r="67">
          <cell r="B67" t="str">
            <v>6.01.01.05.007</v>
          </cell>
          <cell r="C67">
            <v>-2358001</v>
          </cell>
        </row>
        <row r="68">
          <cell r="B68" t="str">
            <v>6.01.01.06.002</v>
          </cell>
          <cell r="C68">
            <v>-288588749</v>
          </cell>
        </row>
        <row r="69">
          <cell r="B69" t="str">
            <v>6.01.01.06.003</v>
          </cell>
          <cell r="C69">
            <v>-46627708</v>
          </cell>
        </row>
        <row r="70">
          <cell r="B70" t="str">
            <v>6.01.01.06.004</v>
          </cell>
          <cell r="C70">
            <v>-297676</v>
          </cell>
        </row>
        <row r="71">
          <cell r="B71" t="str">
            <v>6.01.01.07.005</v>
          </cell>
          <cell r="C71">
            <v>-358866546</v>
          </cell>
        </row>
        <row r="72">
          <cell r="B72" t="str">
            <v>6.01.01.08.001</v>
          </cell>
          <cell r="C72">
            <v>-108817270</v>
          </cell>
        </row>
        <row r="73">
          <cell r="B73" t="str">
            <v>6.01.01.09.001</v>
          </cell>
          <cell r="C73">
            <v>-317615204</v>
          </cell>
        </row>
        <row r="74">
          <cell r="B74" t="str">
            <v>6.01.01.09.002</v>
          </cell>
          <cell r="C74">
            <v>-6090909</v>
          </cell>
        </row>
        <row r="75">
          <cell r="B75" t="str">
            <v>6.01.01.09.003</v>
          </cell>
          <cell r="C75">
            <v>-24836673</v>
          </cell>
        </row>
        <row r="76">
          <cell r="B76" t="str">
            <v>6.01.01.09.004</v>
          </cell>
          <cell r="C76">
            <v>-67563122</v>
          </cell>
        </row>
        <row r="77">
          <cell r="B77" t="str">
            <v>6.01.01.09.006</v>
          </cell>
          <cell r="C77">
            <v>-12756819</v>
          </cell>
        </row>
        <row r="78">
          <cell r="B78" t="str">
            <v>6.01.01.09.008</v>
          </cell>
          <cell r="C78">
            <v>-46739128</v>
          </cell>
        </row>
        <row r="79">
          <cell r="B79" t="str">
            <v>6.01.01.09.009</v>
          </cell>
          <cell r="C79">
            <v>-14240771</v>
          </cell>
        </row>
        <row r="80">
          <cell r="B80" t="str">
            <v>6.01.01.09.010</v>
          </cell>
          <cell r="C80">
            <v>-1236517</v>
          </cell>
        </row>
        <row r="81">
          <cell r="B81" t="str">
            <v>6.01.01.09.011</v>
          </cell>
          <cell r="C81">
            <v>-8156</v>
          </cell>
        </row>
        <row r="82">
          <cell r="B82" t="str">
            <v>6.01.01.09.012</v>
          </cell>
          <cell r="C82">
            <v>-150243903</v>
          </cell>
        </row>
        <row r="83">
          <cell r="B83" t="str">
            <v>6.01.01.09.013</v>
          </cell>
          <cell r="C83">
            <v>-12644168</v>
          </cell>
        </row>
        <row r="84">
          <cell r="B84" t="str">
            <v>6.01.01.11.005</v>
          </cell>
          <cell r="C84">
            <v>0</v>
          </cell>
        </row>
        <row r="85">
          <cell r="B85" t="str">
            <v>6.01.01.11.009</v>
          </cell>
          <cell r="C85">
            <v>-53737345</v>
          </cell>
        </row>
        <row r="86">
          <cell r="B86" t="str">
            <v>6.01.01.11.013</v>
          </cell>
          <cell r="C86">
            <v>0</v>
          </cell>
        </row>
        <row r="87">
          <cell r="B87" t="str">
            <v>6.01.01.11.014</v>
          </cell>
          <cell r="C87">
            <v>0</v>
          </cell>
        </row>
        <row r="88">
          <cell r="B88" t="str">
            <v>6.01.01.12.003</v>
          </cell>
          <cell r="C88">
            <v>-122374532</v>
          </cell>
        </row>
        <row r="89">
          <cell r="B89" t="str">
            <v>6.01.01.12.006</v>
          </cell>
          <cell r="C89">
            <v>-30849800</v>
          </cell>
        </row>
        <row r="90">
          <cell r="B90" t="str">
            <v>6.01.01.12.008</v>
          </cell>
          <cell r="C90">
            <v>0</v>
          </cell>
        </row>
        <row r="91">
          <cell r="B91" t="str">
            <v>6.01.01.13.002</v>
          </cell>
          <cell r="C91">
            <v>-1488254817</v>
          </cell>
        </row>
        <row r="92">
          <cell r="B92" t="str">
            <v>6.01.01.14.001</v>
          </cell>
          <cell r="C92">
            <v>-418636</v>
          </cell>
        </row>
        <row r="93">
          <cell r="B93" t="str">
            <v>6.01.01.14.002</v>
          </cell>
          <cell r="C93">
            <v>-231818</v>
          </cell>
        </row>
        <row r="94">
          <cell r="B94" t="str">
            <v>6.01.01.14.003</v>
          </cell>
          <cell r="C94">
            <v>-60539194</v>
          </cell>
        </row>
        <row r="95">
          <cell r="B95" t="str">
            <v>6.01.01.14.005</v>
          </cell>
          <cell r="C95">
            <v>-15405939</v>
          </cell>
        </row>
        <row r="96">
          <cell r="B96" t="str">
            <v>6.01.01.16.001</v>
          </cell>
          <cell r="C96">
            <v>-98143020</v>
          </cell>
        </row>
        <row r="97">
          <cell r="B97" t="str">
            <v>6.01.01.16.002</v>
          </cell>
          <cell r="C97">
            <v>-43719067</v>
          </cell>
        </row>
        <row r="98">
          <cell r="B98" t="str">
            <v>6.01.01.17.001</v>
          </cell>
          <cell r="C98">
            <v>-3285192</v>
          </cell>
        </row>
        <row r="99">
          <cell r="B99" t="str">
            <v>6.01.01.17.002</v>
          </cell>
          <cell r="C99">
            <v>-27273</v>
          </cell>
        </row>
        <row r="100">
          <cell r="B100" t="str">
            <v>6.01.01.18.001</v>
          </cell>
          <cell r="C100">
            <v>-49991639</v>
          </cell>
        </row>
        <row r="101">
          <cell r="B101" t="str">
            <v>6.01.01.18.002</v>
          </cell>
          <cell r="C101">
            <v>-14270269</v>
          </cell>
        </row>
        <row r="102">
          <cell r="B102" t="str">
            <v>6.01.01.18.003</v>
          </cell>
          <cell r="C102">
            <v>-11775690</v>
          </cell>
        </row>
        <row r="103">
          <cell r="B103" t="str">
            <v>6.01.01.18.004</v>
          </cell>
          <cell r="C103">
            <v>-64353298</v>
          </cell>
        </row>
        <row r="104">
          <cell r="B104" t="str">
            <v>6.01.01.18.005</v>
          </cell>
          <cell r="C104">
            <v>-358687420</v>
          </cell>
        </row>
        <row r="105">
          <cell r="B105" t="str">
            <v>6.01.01.18.006</v>
          </cell>
          <cell r="C105">
            <v>-43865078</v>
          </cell>
        </row>
        <row r="106">
          <cell r="B106" t="str">
            <v>6.01.01.18.007</v>
          </cell>
          <cell r="C106">
            <v>-19527504</v>
          </cell>
        </row>
        <row r="107">
          <cell r="B107" t="str">
            <v>6.01.01.19.003</v>
          </cell>
          <cell r="C107">
            <v>0</v>
          </cell>
        </row>
        <row r="108">
          <cell r="B108" t="str">
            <v>6.01.01.19.005</v>
          </cell>
          <cell r="C108">
            <v>-8907633</v>
          </cell>
        </row>
        <row r="109">
          <cell r="B109" t="str">
            <v>Seguros pagados</v>
          </cell>
          <cell r="C109">
            <v>0</v>
          </cell>
        </row>
        <row r="110">
          <cell r="B110" t="str">
            <v>6.01.01.10.001</v>
          </cell>
          <cell r="C110">
            <v>-66418192</v>
          </cell>
        </row>
        <row r="111">
          <cell r="B111" t="str">
            <v>6.01.01.10.002</v>
          </cell>
          <cell r="C111">
            <v>-176463650</v>
          </cell>
        </row>
        <row r="112">
          <cell r="B112" t="str">
            <v>6.01.01.10.003</v>
          </cell>
          <cell r="C112">
            <v>-63104186</v>
          </cell>
        </row>
        <row r="113">
          <cell r="B113" t="str">
            <v>6.01.01.10.004</v>
          </cell>
          <cell r="C113">
            <v>-13354528</v>
          </cell>
        </row>
        <row r="114">
          <cell r="B114" t="str">
            <v>6.01.01.14.004</v>
          </cell>
          <cell r="C114">
            <v>-491790438</v>
          </cell>
        </row>
        <row r="115">
          <cell r="B115" t="str">
            <v>Total general</v>
          </cell>
          <cell r="C115">
            <v>-45612042734</v>
          </cell>
        </row>
      </sheetData>
      <sheetData sheetId="6"/>
      <sheetData sheetId="7"/>
      <sheetData sheetId="8"/>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G 01-01-20 AL 30-09-2020"/>
      <sheetName val="ER AL 30_09 V2"/>
      <sheetName val="ER AL 30_09 V2 (2)"/>
      <sheetName val="BG AL 30_09_20"/>
      <sheetName val="BG AL 30_09_19"/>
      <sheetName val="BG AL 30_09 V2"/>
      <sheetName val="BG_300918_TOSA (3)"/>
      <sheetName val="MV BG-19"/>
      <sheetName val="2018-ER"/>
      <sheetName val="datos principales"/>
      <sheetName val="MV BG-20"/>
      <sheetName val="MV BASE 2021"/>
      <sheetName val="2021-ER"/>
      <sheetName val="2020-ER"/>
      <sheetName val="Nota 40"/>
      <sheetName val="BALANCE MV"/>
      <sheetName val="EERR MV"/>
      <sheetName val="Flujo_20"/>
      <sheetName val="Flujo_21"/>
      <sheetName val="Armado EERR"/>
      <sheetName val="Armado BG"/>
      <sheetName val="EVPN"/>
      <sheetName val="PN"/>
      <sheetName val="EFE"/>
      <sheetName val="Caratula "/>
      <sheetName val="Indice"/>
      <sheetName val="BG"/>
      <sheetName val="ER"/>
      <sheetName val="EFE "/>
      <sheetName val="Nota1"/>
      <sheetName val="Nota 2"/>
      <sheetName val="Nota 3"/>
      <sheetName val="Nota 4 "/>
      <sheetName val="Nota 5"/>
      <sheetName val="Nota 6"/>
      <sheetName val="Nota 7"/>
      <sheetName val="Nota 8"/>
      <sheetName val="Nota 9"/>
      <sheetName val="Nota 11"/>
      <sheetName val="Nota 12"/>
      <sheetName val="Nota 10"/>
      <sheetName val="Nota 13"/>
      <sheetName val="Nota 14"/>
      <sheetName val="Nota 15"/>
      <sheetName val="Nota 16"/>
      <sheetName val="Nota 17"/>
      <sheetName val="Nota 18"/>
      <sheetName val="Nota 19"/>
      <sheetName val="Nota 20"/>
      <sheetName val=" Nota 21"/>
      <sheetName val="Nota 22"/>
      <sheetName val="Nota 23"/>
      <sheetName val="Nota 24"/>
      <sheetName val="Nota 25"/>
      <sheetName val="Nota 26"/>
      <sheetName val="Nota 27"/>
      <sheetName val="Nota 28"/>
      <sheetName val="Nota 29"/>
      <sheetName val="Nota 30"/>
      <sheetName val="Nota 31"/>
      <sheetName val="Nota 32"/>
      <sheetName val="Nota 33"/>
      <sheetName val="Nota 34"/>
      <sheetName val="Nota 35"/>
      <sheetName val="Nota 36"/>
      <sheetName val="Nota 37"/>
      <sheetName val="Nota 38"/>
      <sheetName val="Nota 39"/>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5.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8AA48A-CE7C-4F47-9EC0-BABFB2C99609}">
  <dimension ref="A1:J231"/>
  <sheetViews>
    <sheetView workbookViewId="0">
      <pane xSplit="2" ySplit="1" topLeftCell="C195" activePane="bottomRight" state="frozen"/>
      <selection activeCell="D196" sqref="D196"/>
      <selection pane="topRight" activeCell="D196" sqref="D196"/>
      <selection pane="bottomLeft" activeCell="D196" sqref="D196"/>
      <selection pane="bottomRight" activeCell="D196" sqref="D196"/>
    </sheetView>
  </sheetViews>
  <sheetFormatPr baseColWidth="10" defaultColWidth="11" defaultRowHeight="10.199999999999999" x14ac:dyDescent="0.2"/>
  <cols>
    <col min="1" max="1" width="11" style="414"/>
    <col min="2" max="2" width="36.8984375" style="414" bestFit="1" customWidth="1"/>
    <col min="3" max="3" width="13.59765625" style="422" bestFit="1" customWidth="1"/>
    <col min="4" max="5" width="13.59765625" style="422" customWidth="1"/>
    <col min="6" max="6" width="13" style="555" bestFit="1" customWidth="1"/>
    <col min="7" max="7" width="11" style="414"/>
    <col min="8" max="9" width="11" style="532"/>
    <col min="10" max="16384" width="11" style="414"/>
  </cols>
  <sheetData>
    <row r="1" spans="1:9" x14ac:dyDescent="0.2">
      <c r="A1" s="414" t="s">
        <v>529</v>
      </c>
      <c r="B1" s="414" t="s">
        <v>530</v>
      </c>
      <c r="C1" s="422" t="s">
        <v>963</v>
      </c>
      <c r="D1" s="422" t="s">
        <v>286</v>
      </c>
      <c r="E1" s="422" t="s">
        <v>1485</v>
      </c>
      <c r="F1" s="555" t="s">
        <v>155</v>
      </c>
    </row>
    <row r="2" spans="1:9" x14ac:dyDescent="0.2">
      <c r="A2" s="414" t="s">
        <v>533</v>
      </c>
      <c r="B2" s="414" t="s">
        <v>534</v>
      </c>
      <c r="C2" s="422">
        <f>IFERROR(VLOOKUP(A2,[1]Sheet1!$A:$C,3,FALSE),0)</f>
        <v>882623</v>
      </c>
      <c r="E2" s="422">
        <f>+C2+D2</f>
        <v>882623</v>
      </c>
      <c r="G2" s="414" t="str">
        <f>IF(VLOOKUP(A2,'BASE BALANCE'!C:C,1,FALSE)&lt;&gt;0,"ok","falta")</f>
        <v>ok</v>
      </c>
      <c r="H2" s="414"/>
      <c r="I2" s="414"/>
    </row>
    <row r="3" spans="1:9" x14ac:dyDescent="0.2">
      <c r="A3" s="414" t="s">
        <v>535</v>
      </c>
      <c r="B3" s="414" t="s">
        <v>536</v>
      </c>
      <c r="C3" s="422">
        <f>IFERROR(VLOOKUP(A3,[1]Sheet1!$A:$C,3,FALSE),0)</f>
        <v>154389233</v>
      </c>
      <c r="E3" s="422">
        <f t="shared" ref="E3:E66" si="0">+C3+D3</f>
        <v>154389233</v>
      </c>
      <c r="F3" s="555">
        <v>3686.77</v>
      </c>
      <c r="G3" s="414" t="str">
        <f>IF(VLOOKUP(A3,'BASE BALANCE'!C:C,1,FALSE)&lt;&gt;0,"ok","falta")</f>
        <v>ok</v>
      </c>
      <c r="H3" s="414"/>
      <c r="I3" s="414"/>
    </row>
    <row r="4" spans="1:9" x14ac:dyDescent="0.2">
      <c r="A4" s="414" t="s">
        <v>1475</v>
      </c>
      <c r="B4" s="414" t="s">
        <v>1476</v>
      </c>
      <c r="C4" s="422">
        <f>IFERROR(VLOOKUP(A4,[1]Sheet1!$A:$C,3,FALSE),0)</f>
        <v>728521</v>
      </c>
      <c r="E4" s="422">
        <f t="shared" si="0"/>
        <v>728521</v>
      </c>
      <c r="F4" s="555">
        <v>100</v>
      </c>
      <c r="G4" s="414" t="str">
        <f>IF(VLOOKUP(A4,'BASE BALANCE'!C:C,1,FALSE)&lt;&gt;0,"ok","falta")</f>
        <v>ok</v>
      </c>
      <c r="H4" s="414"/>
      <c r="I4" s="414"/>
    </row>
    <row r="5" spans="1:9" x14ac:dyDescent="0.2">
      <c r="A5" s="414" t="s">
        <v>537</v>
      </c>
      <c r="B5" s="414" t="s">
        <v>538</v>
      </c>
      <c r="C5" s="422">
        <f>IFERROR(VLOOKUP(A5,[1]Sheet1!$A:$C,3,FALSE),0)</f>
        <v>15839855</v>
      </c>
      <c r="E5" s="422">
        <f t="shared" si="0"/>
        <v>15839855</v>
      </c>
      <c r="F5" s="555">
        <v>14888.32</v>
      </c>
      <c r="G5" s="414" t="str">
        <f>IF(VLOOKUP(A5,'BASE BALANCE'!C:C,1,FALSE)&lt;&gt;0,"ok","falta")</f>
        <v>ok</v>
      </c>
      <c r="H5" s="414"/>
      <c r="I5" s="414"/>
    </row>
    <row r="6" spans="1:9" x14ac:dyDescent="0.2">
      <c r="A6" s="414" t="s">
        <v>539</v>
      </c>
      <c r="B6" s="414" t="s">
        <v>540</v>
      </c>
      <c r="C6" s="422">
        <f>IFERROR(VLOOKUP(A6,[1]Sheet1!$A:$C,3,FALSE),0)</f>
        <v>4024376</v>
      </c>
      <c r="E6" s="422">
        <f t="shared" si="0"/>
        <v>4024376</v>
      </c>
      <c r="F6" s="555">
        <v>650.13</v>
      </c>
      <c r="G6" s="414" t="str">
        <f>IF(VLOOKUP(A6,'BASE BALANCE'!C:C,1,FALSE)&lt;&gt;0,"ok","falta")</f>
        <v>ok</v>
      </c>
      <c r="H6" s="414"/>
      <c r="I6" s="414"/>
    </row>
    <row r="7" spans="1:9" x14ac:dyDescent="0.2">
      <c r="A7" s="414" t="s">
        <v>541</v>
      </c>
      <c r="B7" s="414" t="s">
        <v>542</v>
      </c>
      <c r="C7" s="422">
        <f>IFERROR(VLOOKUP(A7,[1]Sheet1!$A:$C,3,FALSE),0)</f>
        <v>16044833</v>
      </c>
      <c r="D7" s="551"/>
      <c r="E7" s="422">
        <f t="shared" si="0"/>
        <v>16044833</v>
      </c>
      <c r="F7" s="555">
        <v>29544.99</v>
      </c>
      <c r="G7" s="414" t="str">
        <f>IF(VLOOKUP(A7,'BASE BALANCE'!C:C,1,FALSE)&lt;&gt;0,"ok","falta")</f>
        <v>ok</v>
      </c>
      <c r="H7" s="414"/>
      <c r="I7" s="414"/>
    </row>
    <row r="8" spans="1:9" x14ac:dyDescent="0.2">
      <c r="A8" s="414" t="s">
        <v>543</v>
      </c>
      <c r="B8" s="414" t="s">
        <v>544</v>
      </c>
      <c r="C8" s="422">
        <f>IFERROR(VLOOKUP(A8,[1]Sheet1!$A:$C,3,FALSE),0)</f>
        <v>13137502</v>
      </c>
      <c r="D8" s="551"/>
      <c r="E8" s="422">
        <f t="shared" si="0"/>
        <v>13137502</v>
      </c>
      <c r="F8" s="555">
        <v>1704.5</v>
      </c>
      <c r="G8" s="414" t="str">
        <f>IF(VLOOKUP(A8,'BASE BALANCE'!C:C,1,FALSE)&lt;&gt;0,"ok","falta")</f>
        <v>ok</v>
      </c>
      <c r="H8" s="414"/>
      <c r="I8" s="414"/>
    </row>
    <row r="9" spans="1:9" x14ac:dyDescent="0.2">
      <c r="A9" s="414" t="s">
        <v>545</v>
      </c>
      <c r="B9" s="414" t="s">
        <v>546</v>
      </c>
      <c r="C9" s="422">
        <f>IFERROR(VLOOKUP(A9,[1]Sheet1!$A:$C,3,FALSE),0)</f>
        <v>811498679</v>
      </c>
      <c r="D9" s="552">
        <f>-D12</f>
        <v>-17095695</v>
      </c>
      <c r="E9" s="422">
        <f t="shared" si="0"/>
        <v>794402984</v>
      </c>
      <c r="G9" s="414" t="str">
        <f>IF(VLOOKUP(A9,'BASE BALANCE'!C:C,1,FALSE)&lt;&gt;0,"ok","falta")</f>
        <v>ok</v>
      </c>
      <c r="H9" s="414"/>
      <c r="I9" s="414"/>
    </row>
    <row r="10" spans="1:9" x14ac:dyDescent="0.2">
      <c r="A10" s="414" t="s">
        <v>547</v>
      </c>
      <c r="B10" s="414" t="s">
        <v>548</v>
      </c>
      <c r="C10" s="422">
        <f>IFERROR(VLOOKUP(A10,[1]Sheet1!$A:$C,3,FALSE),0)</f>
        <v>164117522</v>
      </c>
      <c r="D10" s="551"/>
      <c r="E10" s="422">
        <f t="shared" si="0"/>
        <v>164117522</v>
      </c>
      <c r="F10" s="555">
        <v>31759.94</v>
      </c>
      <c r="G10" s="414" t="str">
        <f>IF(VLOOKUP(A10,'BASE BALANCE'!C:C,1,FALSE)&lt;&gt;0,"ok","falta")</f>
        <v>ok</v>
      </c>
      <c r="H10" s="414"/>
      <c r="I10" s="414"/>
    </row>
    <row r="11" spans="1:9" x14ac:dyDescent="0.2">
      <c r="A11" s="414" t="s">
        <v>549</v>
      </c>
      <c r="B11" s="414" t="s">
        <v>550</v>
      </c>
      <c r="C11" s="422">
        <f>IFERROR(VLOOKUP(A11,[1]Sheet1!$A:$C,3,FALSE),0)</f>
        <v>8000003</v>
      </c>
      <c r="D11" s="551"/>
      <c r="E11" s="422">
        <f t="shared" si="0"/>
        <v>8000003</v>
      </c>
      <c r="G11" s="414" t="str">
        <f>IF(VLOOKUP(A11,'BASE BALANCE'!C:C,1,FALSE)&lt;&gt;0,"ok","falta")</f>
        <v>ok</v>
      </c>
      <c r="H11" s="414"/>
      <c r="I11" s="414"/>
    </row>
    <row r="12" spans="1:9" x14ac:dyDescent="0.2">
      <c r="A12" s="414" t="s">
        <v>1515</v>
      </c>
      <c r="B12" s="414" t="s">
        <v>1524</v>
      </c>
      <c r="C12" s="422">
        <f>IFERROR(VLOOKUP(A12,[1]Sheet1!$A:$C,3,FALSE),0)</f>
        <v>-17095695</v>
      </c>
      <c r="D12" s="552">
        <f>-C12</f>
        <v>17095695</v>
      </c>
      <c r="E12" s="422">
        <f t="shared" si="0"/>
        <v>0</v>
      </c>
      <c r="G12" s="414" t="str">
        <f>IF(VLOOKUP(A12,'BASE BALANCE'!C:C,1,FALSE)&lt;&gt;0,"ok","falta")</f>
        <v>ok</v>
      </c>
      <c r="H12" s="414"/>
      <c r="I12" s="414"/>
    </row>
    <row r="13" spans="1:9" x14ac:dyDescent="0.2">
      <c r="A13" s="414" t="s">
        <v>551</v>
      </c>
      <c r="B13" s="414" t="s">
        <v>552</v>
      </c>
      <c r="C13" s="422">
        <f>IFERROR(VLOOKUP(A13,[1]Sheet1!$A:$C,3,FALSE),0)</f>
        <v>10000000</v>
      </c>
      <c r="D13" s="551"/>
      <c r="E13" s="422">
        <f t="shared" si="0"/>
        <v>10000000</v>
      </c>
      <c r="G13" s="414" t="str">
        <f>IF(VLOOKUP(A13,'BASE BALANCE'!C:C,1,FALSE)&lt;&gt;0,"ok","falta")</f>
        <v>ok</v>
      </c>
      <c r="H13" s="414"/>
      <c r="I13" s="414"/>
    </row>
    <row r="14" spans="1:9" x14ac:dyDescent="0.2">
      <c r="A14" s="414" t="s">
        <v>553</v>
      </c>
      <c r="B14" s="414" t="s">
        <v>554</v>
      </c>
      <c r="C14" s="422">
        <f>IFERROR(VLOOKUP(A14,[1]Sheet1!$A:$C,3,FALSE),0)</f>
        <v>5000000</v>
      </c>
      <c r="D14" s="551"/>
      <c r="E14" s="422">
        <f t="shared" si="0"/>
        <v>5000000</v>
      </c>
      <c r="G14" s="414" t="str">
        <f>IF(VLOOKUP(A14,'BASE BALANCE'!C:C,1,FALSE)&lt;&gt;0,"ok","falta")</f>
        <v>ok</v>
      </c>
      <c r="H14" s="414"/>
      <c r="I14" s="414"/>
    </row>
    <row r="15" spans="1:9" x14ac:dyDescent="0.2">
      <c r="A15" s="414" t="s">
        <v>555</v>
      </c>
      <c r="B15" s="414" t="s">
        <v>556</v>
      </c>
      <c r="C15" s="422">
        <f>IFERROR(VLOOKUP(A15,[1]Sheet1!$A:$C,3,FALSE),0)</f>
        <v>5000000</v>
      </c>
      <c r="D15" s="551"/>
      <c r="E15" s="422">
        <f t="shared" si="0"/>
        <v>5000000</v>
      </c>
      <c r="G15" s="414" t="str">
        <f>IF(VLOOKUP(A15,'BASE BALANCE'!C:C,1,FALSE)&lt;&gt;0,"ok","falta")</f>
        <v>ok</v>
      </c>
      <c r="H15" s="414"/>
      <c r="I15" s="414"/>
    </row>
    <row r="16" spans="1:9" x14ac:dyDescent="0.2">
      <c r="A16" s="414" t="s">
        <v>557</v>
      </c>
      <c r="B16" s="414" t="s">
        <v>558</v>
      </c>
      <c r="C16" s="422">
        <f>IFERROR(VLOOKUP(A16,[1]Sheet1!$A:$C,3,FALSE),0)</f>
        <v>6000000</v>
      </c>
      <c r="D16" s="551"/>
      <c r="E16" s="422">
        <f t="shared" si="0"/>
        <v>6000000</v>
      </c>
      <c r="G16" s="414" t="str">
        <f>IF(VLOOKUP(A16,'BASE BALANCE'!C:C,1,FALSE)&lt;&gt;0,"ok","falta")</f>
        <v>ok</v>
      </c>
      <c r="H16" s="414"/>
      <c r="I16" s="414"/>
    </row>
    <row r="17" spans="1:9" x14ac:dyDescent="0.2">
      <c r="A17" s="414" t="s">
        <v>559</v>
      </c>
      <c r="B17" s="414" t="s">
        <v>560</v>
      </c>
      <c r="C17" s="422">
        <f>IFERROR(VLOOKUP(A17,[1]Sheet1!$A:$C,3,FALSE),0)</f>
        <v>5000000</v>
      </c>
      <c r="E17" s="422">
        <f t="shared" si="0"/>
        <v>5000000</v>
      </c>
      <c r="G17" s="414" t="str">
        <f>IF(VLOOKUP(A17,'BASE BALANCE'!C:C,1,FALSE)&lt;&gt;0,"ok","falta")</f>
        <v>ok</v>
      </c>
      <c r="H17" s="414"/>
      <c r="I17" s="414"/>
    </row>
    <row r="18" spans="1:9" x14ac:dyDescent="0.2">
      <c r="A18" s="414" t="s">
        <v>563</v>
      </c>
      <c r="B18" s="414" t="s">
        <v>564</v>
      </c>
      <c r="C18" s="422">
        <f>IFERROR(VLOOKUP(A18,[1]Sheet1!$A:$C,3,FALSE),0)</f>
        <v>5000000</v>
      </c>
      <c r="E18" s="422">
        <f t="shared" si="0"/>
        <v>5000000</v>
      </c>
      <c r="G18" s="414" t="str">
        <f>IF(VLOOKUP(A18,'BASE BALANCE'!C:C,1,FALSE)&lt;&gt;0,"ok","falta")</f>
        <v>ok</v>
      </c>
      <c r="H18" s="414"/>
      <c r="I18" s="414"/>
    </row>
    <row r="19" spans="1:9" x14ac:dyDescent="0.2">
      <c r="A19" s="414" t="s">
        <v>565</v>
      </c>
      <c r="B19" s="414" t="s">
        <v>566</v>
      </c>
      <c r="C19" s="422">
        <f>IFERROR(VLOOKUP(A19,[1]Sheet1!$A:$C,3,FALSE),0)</f>
        <v>5000000</v>
      </c>
      <c r="E19" s="422">
        <f t="shared" si="0"/>
        <v>5000000</v>
      </c>
      <c r="G19" s="414" t="str">
        <f>IF(VLOOKUP(A19,'BASE BALANCE'!C:C,1,FALSE)&lt;&gt;0,"ok","falta")</f>
        <v>ok</v>
      </c>
      <c r="H19" s="414"/>
      <c r="I19" s="414"/>
    </row>
    <row r="20" spans="1:9" x14ac:dyDescent="0.2">
      <c r="A20" s="414" t="s">
        <v>567</v>
      </c>
      <c r="B20" s="414" t="s">
        <v>568</v>
      </c>
      <c r="C20" s="422">
        <f>IFERROR(VLOOKUP(A20,[1]Sheet1!$A:$C,3,FALSE),0)</f>
        <v>7000000</v>
      </c>
      <c r="E20" s="422">
        <f t="shared" si="0"/>
        <v>7000000</v>
      </c>
      <c r="G20" s="414" t="str">
        <f>IF(VLOOKUP(A20,'BASE BALANCE'!C:C,1,FALSE)&lt;&gt;0,"ok","falta")</f>
        <v>ok</v>
      </c>
      <c r="H20" s="414"/>
      <c r="I20" s="414"/>
    </row>
    <row r="21" spans="1:9" x14ac:dyDescent="0.2">
      <c r="A21" s="414" t="s">
        <v>569</v>
      </c>
      <c r="B21" s="414" t="s">
        <v>570</v>
      </c>
      <c r="C21" s="422">
        <f>IFERROR(VLOOKUP(A21,[1]Sheet1!$A:$C,3,FALSE),0)</f>
        <v>2000000</v>
      </c>
      <c r="E21" s="422">
        <f t="shared" si="0"/>
        <v>2000000</v>
      </c>
      <c r="G21" s="414" t="str">
        <f>IF(VLOOKUP(A21,'BASE BALANCE'!C:C,1,FALSE)&lt;&gt;0,"ok","falta")</f>
        <v>ok</v>
      </c>
      <c r="H21" s="414"/>
      <c r="I21" s="414"/>
    </row>
    <row r="22" spans="1:9" x14ac:dyDescent="0.2">
      <c r="A22" s="414" t="s">
        <v>571</v>
      </c>
      <c r="B22" s="414" t="s">
        <v>572</v>
      </c>
      <c r="C22" s="422">
        <f>IFERROR(VLOOKUP(A22,[1]Sheet1!$A:$C,3,FALSE),0)</f>
        <v>2821726709</v>
      </c>
      <c r="E22" s="422">
        <f t="shared" si="0"/>
        <v>2821726709</v>
      </c>
      <c r="G22" s="414" t="str">
        <f>IF(VLOOKUP(A22,'BASE BALANCE'!C:C,1,FALSE)&lt;&gt;0,"ok","falta")</f>
        <v>ok</v>
      </c>
      <c r="H22" s="414"/>
      <c r="I22" s="414"/>
    </row>
    <row r="23" spans="1:9" x14ac:dyDescent="0.2">
      <c r="A23" s="414" t="s">
        <v>573</v>
      </c>
      <c r="B23" s="414" t="s">
        <v>574</v>
      </c>
      <c r="C23" s="422">
        <f>IFERROR(VLOOKUP(A23,[1]Sheet1!$A:$C,3,FALSE),0)</f>
        <v>424577972</v>
      </c>
      <c r="E23" s="422">
        <f t="shared" si="0"/>
        <v>424577972</v>
      </c>
      <c r="G23" s="414" t="str">
        <f>IF(VLOOKUP(A23,'BASE BALANCE'!C:C,1,FALSE)&lt;&gt;0,"ok","falta")</f>
        <v>ok</v>
      </c>
      <c r="H23" s="414"/>
      <c r="I23" s="414"/>
    </row>
    <row r="24" spans="1:9" x14ac:dyDescent="0.2">
      <c r="A24" s="414" t="s">
        <v>575</v>
      </c>
      <c r="B24" s="414" t="s">
        <v>576</v>
      </c>
      <c r="C24" s="422">
        <f>IFERROR(VLOOKUP(A24,[1]Sheet1!$A:$C,3,FALSE),0)</f>
        <v>965446124</v>
      </c>
      <c r="E24" s="422">
        <f t="shared" si="0"/>
        <v>965446124</v>
      </c>
      <c r="G24" s="414" t="str">
        <f>IF(VLOOKUP(A24,'BASE BALANCE'!C:C,1,FALSE)&lt;&gt;0,"ok","falta")</f>
        <v>ok</v>
      </c>
      <c r="H24" s="414"/>
      <c r="I24" s="414"/>
    </row>
    <row r="25" spans="1:9" x14ac:dyDescent="0.2">
      <c r="A25" s="414" t="s">
        <v>577</v>
      </c>
      <c r="B25" s="414" t="s">
        <v>578</v>
      </c>
      <c r="C25" s="422">
        <f>IFERROR(VLOOKUP(A25,[1]Sheet1!$A:$C,3,FALSE),0)</f>
        <v>143476410</v>
      </c>
      <c r="E25" s="422">
        <f t="shared" si="0"/>
        <v>143476410</v>
      </c>
      <c r="G25" s="414" t="str">
        <f>IF(VLOOKUP(A25,'BASE BALANCE'!C:C,1,FALSE)&lt;&gt;0,"ok","falta")</f>
        <v>ok</v>
      </c>
      <c r="H25" s="414"/>
      <c r="I25" s="414"/>
    </row>
    <row r="26" spans="1:9" x14ac:dyDescent="0.2">
      <c r="A26" s="414" t="s">
        <v>581</v>
      </c>
      <c r="B26" s="414" t="s">
        <v>582</v>
      </c>
      <c r="C26" s="422">
        <f>IFERROR(VLOOKUP(A26,[1]Sheet1!$A:$C,3,FALSE),0)</f>
        <v>25777363</v>
      </c>
      <c r="E26" s="422">
        <f t="shared" si="0"/>
        <v>25777363</v>
      </c>
      <c r="G26" s="414" t="str">
        <f>IF(VLOOKUP(A26,'BASE BALANCE'!C:C,1,FALSE)&lt;&gt;0,"ok","falta")</f>
        <v>ok</v>
      </c>
      <c r="H26" s="414"/>
      <c r="I26" s="414"/>
    </row>
    <row r="27" spans="1:9" x14ac:dyDescent="0.2">
      <c r="A27" s="414" t="s">
        <v>583</v>
      </c>
      <c r="B27" s="414" t="s">
        <v>584</v>
      </c>
      <c r="C27" s="422">
        <f>IFERROR(VLOOKUP(A27,[1]Sheet1!$A:$C,3,FALSE),0)</f>
        <v>306718</v>
      </c>
      <c r="E27" s="422">
        <f t="shared" si="0"/>
        <v>306718</v>
      </c>
      <c r="G27" s="414" t="str">
        <f>IF(VLOOKUP(A27,'BASE BALANCE'!C:C,1,FALSE)&lt;&gt;0,"ok","falta")</f>
        <v>ok</v>
      </c>
      <c r="H27" s="414"/>
      <c r="I27" s="414"/>
    </row>
    <row r="28" spans="1:9" x14ac:dyDescent="0.2">
      <c r="A28" s="414" t="s">
        <v>1516</v>
      </c>
      <c r="B28" s="414" t="s">
        <v>1525</v>
      </c>
      <c r="C28" s="422">
        <f>IFERROR(VLOOKUP(A28,[1]Sheet1!$A:$C,3,FALSE),0)</f>
        <v>35848505</v>
      </c>
      <c r="E28" s="422">
        <f t="shared" si="0"/>
        <v>35848505</v>
      </c>
      <c r="G28" s="414" t="str">
        <f>IF(VLOOKUP(A28,'BASE BALANCE'!C:C,1,FALSE)&lt;&gt;0,"ok","falta")</f>
        <v>ok</v>
      </c>
      <c r="H28" s="414"/>
      <c r="I28" s="414"/>
    </row>
    <row r="29" spans="1:9" x14ac:dyDescent="0.2">
      <c r="A29" s="414" t="s">
        <v>585</v>
      </c>
      <c r="B29" s="414" t="s">
        <v>586</v>
      </c>
      <c r="C29" s="422">
        <f>IFERROR(VLOOKUP(A29,[1]Sheet1!$A:$C,3,FALSE),0)</f>
        <v>3236405611</v>
      </c>
      <c r="E29" s="422">
        <f t="shared" si="0"/>
        <v>3236405611</v>
      </c>
      <c r="F29" s="555">
        <v>139771.76999999999</v>
      </c>
      <c r="G29" s="414" t="str">
        <f>IF(VLOOKUP(A29,'BASE BALANCE'!C:C,1,FALSE)&lt;&gt;0,"ok","falta")</f>
        <v>ok</v>
      </c>
      <c r="H29" s="414"/>
      <c r="I29" s="414"/>
    </row>
    <row r="30" spans="1:9" x14ac:dyDescent="0.2">
      <c r="A30" s="414" t="s">
        <v>587</v>
      </c>
      <c r="B30" s="414" t="s">
        <v>588</v>
      </c>
      <c r="C30" s="422">
        <f>IFERROR(VLOOKUP(A30,[1]Sheet1!$A:$C,3,FALSE),0)</f>
        <v>752308779</v>
      </c>
      <c r="E30" s="422">
        <f t="shared" si="0"/>
        <v>752308779</v>
      </c>
      <c r="F30" s="555">
        <v>8.4700000000000006</v>
      </c>
      <c r="G30" s="414" t="str">
        <f>IF(VLOOKUP(A30,'BASE BALANCE'!C:C,1,FALSE)&lt;&gt;0,"ok","falta")</f>
        <v>ok</v>
      </c>
      <c r="H30" s="414"/>
      <c r="I30" s="414"/>
    </row>
    <row r="31" spans="1:9" x14ac:dyDescent="0.2">
      <c r="A31" s="414" t="s">
        <v>589</v>
      </c>
      <c r="B31" s="414" t="s">
        <v>590</v>
      </c>
      <c r="C31" s="422">
        <f>IFERROR(VLOOKUP(A31,[1]Sheet1!$A:$C,3,FALSE),0)</f>
        <v>379071</v>
      </c>
      <c r="E31" s="422">
        <f t="shared" si="0"/>
        <v>379071</v>
      </c>
      <c r="F31" s="555">
        <v>50.66</v>
      </c>
      <c r="G31" s="414" t="str">
        <f>IF(VLOOKUP(A31,'BASE BALANCE'!C:C,1,FALSE)&lt;&gt;0,"ok","falta")</f>
        <v>ok</v>
      </c>
      <c r="H31" s="414"/>
      <c r="I31" s="414"/>
    </row>
    <row r="32" spans="1:9" x14ac:dyDescent="0.2">
      <c r="A32" s="414" t="s">
        <v>1517</v>
      </c>
      <c r="B32" s="414" t="s">
        <v>1526</v>
      </c>
      <c r="C32" s="422">
        <f>IFERROR(VLOOKUP(A32,[1]Sheet1!$A:$C,3,FALSE),0)</f>
        <v>43710000</v>
      </c>
      <c r="E32" s="422">
        <f t="shared" si="0"/>
        <v>43710000</v>
      </c>
      <c r="G32" s="414" t="str">
        <f>IF(VLOOKUP(A32,'BASE BALANCE'!C:C,1,FALSE)&lt;&gt;0,"ok","falta")</f>
        <v>ok</v>
      </c>
      <c r="H32" s="414"/>
      <c r="I32" s="414"/>
    </row>
    <row r="33" spans="1:9" x14ac:dyDescent="0.2">
      <c r="A33" s="414" t="s">
        <v>591</v>
      </c>
      <c r="B33" s="414" t="s">
        <v>592</v>
      </c>
      <c r="C33" s="422">
        <f>IFERROR(VLOOKUP(A33,[1]Sheet1!$A:$C,3,FALSE),0)</f>
        <v>305813898</v>
      </c>
      <c r="D33" s="552">
        <f>-D39-D41</f>
        <v>-2254200</v>
      </c>
      <c r="E33" s="422">
        <f t="shared" si="0"/>
        <v>303559698</v>
      </c>
      <c r="F33" s="555">
        <v>70483.23</v>
      </c>
      <c r="G33" s="414" t="str">
        <f>IF(VLOOKUP(A33,'BASE BALANCE'!C:C,1,FALSE)&lt;&gt;0,"ok","falta")</f>
        <v>ok</v>
      </c>
      <c r="H33" s="414"/>
      <c r="I33" s="414"/>
    </row>
    <row r="34" spans="1:9" x14ac:dyDescent="0.2">
      <c r="A34" s="414" t="s">
        <v>593</v>
      </c>
      <c r="B34" s="414" t="s">
        <v>594</v>
      </c>
      <c r="C34" s="422">
        <f>IFERROR(VLOOKUP(A34,[1]Sheet1!$A:$C,3,FALSE),0)</f>
        <v>120282</v>
      </c>
      <c r="E34" s="422">
        <f t="shared" si="0"/>
        <v>120282</v>
      </c>
      <c r="F34" s="555">
        <v>16.5</v>
      </c>
      <c r="G34" s="414" t="str">
        <f>IF(VLOOKUP(A34,'BASE BALANCE'!C:C,1,FALSE)&lt;&gt;0,"ok","falta")</f>
        <v>ok</v>
      </c>
      <c r="H34" s="414"/>
      <c r="I34" s="414"/>
    </row>
    <row r="35" spans="1:9" x14ac:dyDescent="0.2">
      <c r="A35" s="414" t="s">
        <v>595</v>
      </c>
      <c r="B35" s="414" t="s">
        <v>596</v>
      </c>
      <c r="C35" s="422">
        <f>IFERROR(VLOOKUP(A35,[1]Sheet1!$A:$C,3,FALSE),0)</f>
        <v>601773571</v>
      </c>
      <c r="E35" s="422">
        <f t="shared" si="0"/>
        <v>601773571</v>
      </c>
      <c r="F35" s="555">
        <v>74848.63</v>
      </c>
      <c r="G35" s="414" t="str">
        <f>IF(VLOOKUP(A35,'BASE BALANCE'!C:C,1,FALSE)&lt;&gt;0,"ok","falta")</f>
        <v>ok</v>
      </c>
      <c r="H35" s="414"/>
      <c r="I35" s="414"/>
    </row>
    <row r="36" spans="1:9" x14ac:dyDescent="0.2">
      <c r="A36" s="414" t="s">
        <v>1497</v>
      </c>
      <c r="B36" s="414" t="s">
        <v>1498</v>
      </c>
      <c r="C36" s="422">
        <f>IFERROR(VLOOKUP(A36,[1]Sheet1!$A:$C,3,FALSE),0)</f>
        <v>124257704</v>
      </c>
      <c r="E36" s="422">
        <f t="shared" si="0"/>
        <v>124257704</v>
      </c>
      <c r="F36" s="555">
        <v>74848.63</v>
      </c>
      <c r="G36" s="414" t="str">
        <f>IF(VLOOKUP(A36,'BASE BALANCE'!C:C,1,FALSE)&lt;&gt;0,"ok","falta")</f>
        <v>ok</v>
      </c>
      <c r="H36" s="414"/>
      <c r="I36" s="414"/>
    </row>
    <row r="37" spans="1:9" x14ac:dyDescent="0.2">
      <c r="A37" s="414" t="s">
        <v>597</v>
      </c>
      <c r="B37" s="414" t="s">
        <v>598</v>
      </c>
      <c r="C37" s="422">
        <f>IFERROR(VLOOKUP(A37,[1]Sheet1!$A:$C,3,FALSE),0)</f>
        <v>45738770</v>
      </c>
      <c r="E37" s="422">
        <f t="shared" ref="E37:E75" si="1">+C37+D37</f>
        <v>45738770</v>
      </c>
      <c r="G37" s="414" t="str">
        <f>IF(VLOOKUP(A37,'BASE BALANCE'!C:C,1,FALSE)&lt;&gt;0,"ok","falta")</f>
        <v>ok</v>
      </c>
      <c r="H37" s="414"/>
      <c r="I37" s="414"/>
    </row>
    <row r="38" spans="1:9" x14ac:dyDescent="0.2">
      <c r="A38" s="414" t="s">
        <v>599</v>
      </c>
      <c r="B38" s="414" t="s">
        <v>600</v>
      </c>
      <c r="C38" s="422">
        <f>IFERROR(VLOOKUP(A38,[1]Sheet1!$A:$C,3,FALSE),0)</f>
        <v>30000000</v>
      </c>
      <c r="E38" s="422">
        <f t="shared" si="0"/>
        <v>30000000</v>
      </c>
      <c r="F38" s="555" t="s">
        <v>1477</v>
      </c>
      <c r="G38" s="414" t="str">
        <f>IF(VLOOKUP(A38,'BASE BALANCE'!C:C,1,FALSE)&lt;&gt;0,"ok","falta")</f>
        <v>ok</v>
      </c>
      <c r="H38" s="414"/>
      <c r="I38" s="414"/>
    </row>
    <row r="39" spans="1:9" x14ac:dyDescent="0.2">
      <c r="A39" s="414" t="s">
        <v>1518</v>
      </c>
      <c r="B39" s="414" t="s">
        <v>1527</v>
      </c>
      <c r="C39" s="422">
        <f>IFERROR(VLOOKUP(A39,[1]Sheet1!$A:$C,3,FALSE),0)</f>
        <v>-1237950</v>
      </c>
      <c r="D39" s="552">
        <f>-C39</f>
        <v>1237950</v>
      </c>
      <c r="E39" s="552">
        <f t="shared" si="0"/>
        <v>0</v>
      </c>
      <c r="F39" s="553"/>
      <c r="G39" s="554" t="e">
        <f>IF(VLOOKUP(A39,'BASE BALANCE'!C:C,1,FALSE)&lt;&gt;0,"ok","falta")</f>
        <v>#N/A</v>
      </c>
      <c r="H39" s="414"/>
      <c r="I39" s="414"/>
    </row>
    <row r="40" spans="1:9" x14ac:dyDescent="0.2">
      <c r="A40" s="414" t="s">
        <v>601</v>
      </c>
      <c r="B40" s="414" t="s">
        <v>602</v>
      </c>
      <c r="C40" s="422">
        <f>IFERROR(VLOOKUP(A40,[1]Sheet1!$A:$C,3,FALSE),0)</f>
        <v>4223873</v>
      </c>
      <c r="E40" s="422">
        <f t="shared" si="1"/>
        <v>4223873</v>
      </c>
      <c r="F40" s="555" t="s">
        <v>1477</v>
      </c>
      <c r="G40" s="414" t="str">
        <f>IF(VLOOKUP(A40,'BASE BALANCE'!C:C,1,FALSE)&lt;&gt;0,"ok","falta")</f>
        <v>ok</v>
      </c>
      <c r="H40" s="414"/>
      <c r="I40" s="414"/>
    </row>
    <row r="41" spans="1:9" x14ac:dyDescent="0.2">
      <c r="A41" s="414" t="s">
        <v>1519</v>
      </c>
      <c r="B41" s="414" t="s">
        <v>1528</v>
      </c>
      <c r="C41" s="422">
        <f>IFERROR(VLOOKUP(A41,[1]Sheet1!$A:$C,3,FALSE),0)</f>
        <v>-1016250</v>
      </c>
      <c r="D41" s="552">
        <f>-C41</f>
        <v>1016250</v>
      </c>
      <c r="E41" s="552">
        <f t="shared" si="0"/>
        <v>0</v>
      </c>
      <c r="F41" s="553"/>
      <c r="G41" s="554" t="e">
        <f>IF(VLOOKUP(A41,'BASE BALANCE'!C:C,1,FALSE)&lt;&gt;0,"ok","falta")</f>
        <v>#N/A</v>
      </c>
      <c r="H41" s="414"/>
      <c r="I41" s="414"/>
    </row>
    <row r="42" spans="1:9" x14ac:dyDescent="0.2">
      <c r="A42" s="414" t="s">
        <v>603</v>
      </c>
      <c r="B42" s="414" t="s">
        <v>604</v>
      </c>
      <c r="C42" s="422">
        <f>IFERROR(VLOOKUP(A42,[1]Sheet1!$A:$C,3,FALSE),0)</f>
        <v>0</v>
      </c>
      <c r="E42" s="422">
        <f t="shared" si="0"/>
        <v>0</v>
      </c>
      <c r="F42" s="555">
        <v>2564</v>
      </c>
      <c r="G42" s="414" t="str">
        <f>IF(VLOOKUP(A42,'BASE BALANCE'!C:C,1,FALSE)&lt;&gt;0,"ok","falta")</f>
        <v>ok</v>
      </c>
      <c r="H42" s="414"/>
      <c r="I42" s="414"/>
    </row>
    <row r="43" spans="1:9" x14ac:dyDescent="0.2">
      <c r="A43" s="414" t="s">
        <v>606</v>
      </c>
      <c r="B43" s="414" t="s">
        <v>607</v>
      </c>
      <c r="C43" s="422">
        <f>IFERROR(VLOOKUP(A43,[1]Sheet1!$A:$C,3,FALSE),0)</f>
        <v>20201794300</v>
      </c>
      <c r="E43" s="422">
        <f t="shared" si="1"/>
        <v>20201794300</v>
      </c>
      <c r="F43" s="555" t="s">
        <v>1477</v>
      </c>
      <c r="G43" s="414" t="str">
        <f>IF(VLOOKUP(A43,'BASE BALANCE'!C:C,1,FALSE)&lt;&gt;0,"ok","falta")</f>
        <v>ok</v>
      </c>
      <c r="H43" s="414"/>
      <c r="I43" s="414"/>
    </row>
    <row r="44" spans="1:9" x14ac:dyDescent="0.2">
      <c r="A44" s="414" t="s">
        <v>610</v>
      </c>
      <c r="B44" s="414" t="s">
        <v>609</v>
      </c>
      <c r="C44" s="422">
        <f>IFERROR(VLOOKUP(A44,[1]Sheet1!$A:$C,3,FALSE),0)</f>
        <v>416527296</v>
      </c>
      <c r="E44" s="422">
        <f t="shared" si="0"/>
        <v>416527296</v>
      </c>
      <c r="F44" s="555">
        <v>-47937.26</v>
      </c>
      <c r="G44" s="414" t="str">
        <f>IF(VLOOKUP(A44,'BASE BALANCE'!C:C,1,FALSE)&lt;&gt;0,"ok","falta")</f>
        <v>ok</v>
      </c>
      <c r="H44" s="414"/>
      <c r="I44" s="414"/>
    </row>
    <row r="45" spans="1:9" x14ac:dyDescent="0.2">
      <c r="A45" s="414" t="s">
        <v>611</v>
      </c>
      <c r="B45" s="414" t="s">
        <v>612</v>
      </c>
      <c r="C45" s="422">
        <f>IFERROR(VLOOKUP(A45,[1]Sheet1!$A:$C,3,FALSE),0)</f>
        <v>1915408921</v>
      </c>
      <c r="E45" s="422">
        <f t="shared" si="0"/>
        <v>1915408921</v>
      </c>
      <c r="G45" s="414" t="str">
        <f>IF(VLOOKUP(A45,'BASE BALANCE'!C:C,1,FALSE)&lt;&gt;0,"ok","falta")</f>
        <v>ok</v>
      </c>
      <c r="H45" s="414"/>
      <c r="I45" s="414"/>
    </row>
    <row r="46" spans="1:9" x14ac:dyDescent="0.2">
      <c r="A46" s="414" t="s">
        <v>613</v>
      </c>
      <c r="B46" s="414" t="s">
        <v>614</v>
      </c>
      <c r="C46" s="422">
        <f>IFERROR(VLOOKUP(A46,[1]Sheet1!$A:$C,3,FALSE),0)</f>
        <v>1237336433</v>
      </c>
      <c r="E46" s="422">
        <f t="shared" si="0"/>
        <v>1237336433</v>
      </c>
      <c r="F46" s="555">
        <v>134653.89000000001</v>
      </c>
      <c r="G46" s="414" t="str">
        <f>IF(VLOOKUP(A46,'BASE BALANCE'!C:C,1,FALSE)&lt;&gt;0,"ok","falta")</f>
        <v>ok</v>
      </c>
      <c r="H46" s="414"/>
      <c r="I46" s="414"/>
    </row>
    <row r="47" spans="1:9" x14ac:dyDescent="0.2">
      <c r="A47" s="414" t="s">
        <v>615</v>
      </c>
      <c r="B47" s="414" t="s">
        <v>616</v>
      </c>
      <c r="C47" s="422">
        <f>IFERROR(VLOOKUP(A47,[1]Sheet1!$A:$C,3,FALSE),0)</f>
        <v>7567855771</v>
      </c>
      <c r="E47" s="422">
        <f t="shared" si="0"/>
        <v>7567855771</v>
      </c>
      <c r="G47" s="414" t="str">
        <f>IF(VLOOKUP(A47,'BASE BALANCE'!C:C,1,FALSE)&lt;&gt;0,"ok","falta")</f>
        <v>ok</v>
      </c>
      <c r="H47" s="414"/>
      <c r="I47" s="414"/>
    </row>
    <row r="48" spans="1:9" x14ac:dyDescent="0.2">
      <c r="A48" s="414" t="s">
        <v>617</v>
      </c>
      <c r="B48" s="414" t="s">
        <v>618</v>
      </c>
      <c r="C48" s="422">
        <f>IFERROR(VLOOKUP(A48,[1]Sheet1!$A:$C,3,FALSE),0)</f>
        <v>1271950204</v>
      </c>
      <c r="E48" s="422">
        <f t="shared" si="1"/>
        <v>1271950204</v>
      </c>
      <c r="G48" s="414" t="str">
        <f>IF(VLOOKUP(A48,'BASE BALANCE'!C:C,1,FALSE)&lt;&gt;0,"ok","falta")</f>
        <v>ok</v>
      </c>
      <c r="H48" s="414"/>
      <c r="I48" s="414"/>
    </row>
    <row r="49" spans="1:9" x14ac:dyDescent="0.2">
      <c r="A49" s="414" t="s">
        <v>619</v>
      </c>
      <c r="B49" s="414" t="s">
        <v>620</v>
      </c>
      <c r="C49" s="422">
        <f>IFERROR(VLOOKUP(A49,[1]Sheet1!$A:$C,3,FALSE),0)</f>
        <v>8999668</v>
      </c>
      <c r="E49" s="422">
        <f t="shared" si="0"/>
        <v>8999668</v>
      </c>
      <c r="G49" s="414" t="str">
        <f>IF(VLOOKUP(A49,'BASE BALANCE'!C:C,1,FALSE)&lt;&gt;0,"ok","falta")</f>
        <v>ok</v>
      </c>
      <c r="H49" s="414"/>
      <c r="I49" s="414"/>
    </row>
    <row r="50" spans="1:9" x14ac:dyDescent="0.2">
      <c r="A50" s="414" t="s">
        <v>622</v>
      </c>
      <c r="B50" s="414" t="s">
        <v>621</v>
      </c>
      <c r="C50" s="422">
        <f>IFERROR(VLOOKUP(A50,[1]Sheet1!$A:$C,3,FALSE),0)</f>
        <v>5846254433</v>
      </c>
      <c r="E50" s="422">
        <f t="shared" si="0"/>
        <v>5846254433</v>
      </c>
      <c r="G50" s="414" t="str">
        <f>IF(VLOOKUP(A50,'BASE BALANCE'!C:C,1,FALSE)&lt;&gt;0,"ok","falta")</f>
        <v>ok</v>
      </c>
      <c r="H50" s="414"/>
      <c r="I50" s="414"/>
    </row>
    <row r="51" spans="1:9" x14ac:dyDescent="0.2">
      <c r="A51" s="414" t="s">
        <v>623</v>
      </c>
      <c r="B51" s="414" t="s">
        <v>624</v>
      </c>
      <c r="C51" s="422">
        <f>IFERROR(VLOOKUP(A51,[1]Sheet1!$A:$C,3,FALSE),0)</f>
        <v>46668771</v>
      </c>
      <c r="E51" s="422">
        <f t="shared" si="1"/>
        <v>46668771</v>
      </c>
      <c r="G51" s="414" t="str">
        <f>IF(VLOOKUP(A51,'BASE BALANCE'!C:C,1,FALSE)&lt;&gt;0,"ok","falta")</f>
        <v>ok</v>
      </c>
      <c r="H51" s="414"/>
      <c r="I51" s="414"/>
    </row>
    <row r="52" spans="1:9" x14ac:dyDescent="0.2">
      <c r="A52" s="414" t="s">
        <v>625</v>
      </c>
      <c r="B52" s="414" t="s">
        <v>626</v>
      </c>
      <c r="C52" s="422">
        <f>IFERROR(VLOOKUP(A52,[1]Sheet1!$A:$C,3,FALSE),0)</f>
        <v>25301740</v>
      </c>
      <c r="E52" s="422">
        <f t="shared" si="0"/>
        <v>25301740</v>
      </c>
      <c r="G52" s="414" t="str">
        <f>IF(VLOOKUP(A52,'BASE BALANCE'!C:C,1,FALSE)&lt;&gt;0,"ok","falta")</f>
        <v>ok</v>
      </c>
      <c r="H52" s="414"/>
      <c r="I52" s="414"/>
    </row>
    <row r="53" spans="1:9" x14ac:dyDescent="0.2">
      <c r="A53" s="414" t="s">
        <v>627</v>
      </c>
      <c r="B53" s="414" t="s">
        <v>167</v>
      </c>
      <c r="C53" s="422">
        <f>IFERROR(VLOOKUP(A53,[1]Sheet1!$A:$C,3,FALSE),0)</f>
        <v>-8211010350</v>
      </c>
      <c r="E53" s="422">
        <f t="shared" si="0"/>
        <v>-8211010350</v>
      </c>
      <c r="G53" s="414" t="str">
        <f>IF(VLOOKUP(A53,'BASE BALANCE'!C:C,1,FALSE)&lt;&gt;0,"ok","falta")</f>
        <v>ok</v>
      </c>
      <c r="H53" s="414"/>
      <c r="I53" s="414"/>
    </row>
    <row r="54" spans="1:9" x14ac:dyDescent="0.2">
      <c r="A54" s="414" t="s">
        <v>628</v>
      </c>
      <c r="B54" s="414" t="s">
        <v>629</v>
      </c>
      <c r="C54" s="422">
        <f>IFERROR(VLOOKUP(A54,[1]Sheet1!$A:$C,3,FALSE),0)</f>
        <v>-209122796</v>
      </c>
      <c r="D54" s="552">
        <f>-C54</f>
        <v>209122796</v>
      </c>
      <c r="E54" s="422">
        <f t="shared" si="1"/>
        <v>0</v>
      </c>
      <c r="F54" s="555" t="s">
        <v>1477</v>
      </c>
      <c r="G54" s="414" t="str">
        <f>IF(VLOOKUP(A54,'BASE BALANCE'!C:C,1,FALSE)&lt;&gt;0,"ok","falta")</f>
        <v>ok</v>
      </c>
      <c r="H54" s="414"/>
      <c r="I54" s="414"/>
    </row>
    <row r="55" spans="1:9" x14ac:dyDescent="0.2">
      <c r="A55" s="414" t="s">
        <v>630</v>
      </c>
      <c r="B55" s="414" t="s">
        <v>631</v>
      </c>
      <c r="C55" s="422">
        <f>IFERROR(VLOOKUP(A55,[1]Sheet1!$A:$C,3,FALSE),0)</f>
        <v>332716183</v>
      </c>
      <c r="D55" s="552">
        <f>-D54</f>
        <v>-209122796</v>
      </c>
      <c r="E55" s="422">
        <f t="shared" si="0"/>
        <v>123593387</v>
      </c>
      <c r="G55" s="414" t="str">
        <f>IF(VLOOKUP(A55,'BASE BALANCE'!C:C,1,FALSE)&lt;&gt;0,"ok","falta")</f>
        <v>ok</v>
      </c>
      <c r="H55" s="414"/>
      <c r="I55" s="414"/>
    </row>
    <row r="56" spans="1:9" x14ac:dyDescent="0.2">
      <c r="A56" s="414" t="s">
        <v>632</v>
      </c>
      <c r="B56" s="414" t="s">
        <v>633</v>
      </c>
      <c r="C56" s="422">
        <f>IFERROR(VLOOKUP(A56,[1]Sheet1!$A:$C,3,FALSE),0)</f>
        <v>363414864</v>
      </c>
      <c r="E56" s="422">
        <f t="shared" si="0"/>
        <v>363414864</v>
      </c>
      <c r="G56" s="414" t="str">
        <f>IF(VLOOKUP(A56,'BASE BALANCE'!C:C,1,FALSE)&lt;&gt;0,"ok","falta")</f>
        <v>ok</v>
      </c>
      <c r="H56" s="414"/>
      <c r="I56" s="414"/>
    </row>
    <row r="57" spans="1:9" x14ac:dyDescent="0.2">
      <c r="A57" s="414" t="s">
        <v>634</v>
      </c>
      <c r="B57" s="414" t="s">
        <v>635</v>
      </c>
      <c r="C57" s="422">
        <f>IFERROR(VLOOKUP(A57,[1]Sheet1!$A:$C,3,FALSE),0)</f>
        <v>942533</v>
      </c>
      <c r="E57" s="422">
        <f t="shared" si="0"/>
        <v>942533</v>
      </c>
      <c r="G57" s="414" t="str">
        <f>IF(VLOOKUP(A57,'BASE BALANCE'!C:C,1,FALSE)&lt;&gt;0,"ok","falta")</f>
        <v>ok</v>
      </c>
      <c r="H57" s="414"/>
      <c r="I57" s="414"/>
    </row>
    <row r="58" spans="1:9" x14ac:dyDescent="0.2">
      <c r="A58" s="414" t="s">
        <v>636</v>
      </c>
      <c r="B58" s="414" t="s">
        <v>637</v>
      </c>
      <c r="C58" s="422">
        <f>IFERROR(VLOOKUP(A58,[1]Sheet1!$A:$C,3,FALSE),0)</f>
        <v>1328922584</v>
      </c>
      <c r="E58" s="422">
        <f t="shared" si="0"/>
        <v>1328922584</v>
      </c>
      <c r="G58" s="414" t="str">
        <f>IF(VLOOKUP(A58,'BASE BALANCE'!C:C,1,FALSE)&lt;&gt;0,"ok","falta")</f>
        <v>ok</v>
      </c>
      <c r="H58" s="414"/>
      <c r="I58" s="414"/>
    </row>
    <row r="59" spans="1:9" x14ac:dyDescent="0.2">
      <c r="A59" s="414" t="s">
        <v>638</v>
      </c>
      <c r="B59" s="414" t="s">
        <v>639</v>
      </c>
      <c r="C59" s="422">
        <f>IFERROR(VLOOKUP(A59,[1]Sheet1!$A:$C,3,FALSE),0)</f>
        <v>243468417</v>
      </c>
      <c r="E59" s="422">
        <f t="shared" si="1"/>
        <v>243468417</v>
      </c>
      <c r="G59" s="414" t="str">
        <f>IF(VLOOKUP(A59,'BASE BALANCE'!C:C,1,FALSE)&lt;&gt;0,"ok","falta")</f>
        <v>ok</v>
      </c>
      <c r="H59" s="414"/>
      <c r="I59" s="414"/>
    </row>
    <row r="60" spans="1:9" x14ac:dyDescent="0.2">
      <c r="A60" s="414" t="s">
        <v>640</v>
      </c>
      <c r="B60" s="414" t="s">
        <v>641</v>
      </c>
      <c r="C60" s="422">
        <f>IFERROR(VLOOKUP(A60,[1]Sheet1!$A:$C,3,FALSE),0)</f>
        <v>570000</v>
      </c>
      <c r="E60" s="422">
        <f t="shared" si="0"/>
        <v>570000</v>
      </c>
      <c r="F60" s="555" t="s">
        <v>1477</v>
      </c>
      <c r="G60" s="414" t="str">
        <f>IF(VLOOKUP(A60,'BASE BALANCE'!C:C,1,FALSE)&lt;&gt;0,"ok","falta")</f>
        <v>ok</v>
      </c>
      <c r="H60" s="414"/>
      <c r="I60" s="414"/>
    </row>
    <row r="61" spans="1:9" x14ac:dyDescent="0.2">
      <c r="A61" s="414" t="s">
        <v>642</v>
      </c>
      <c r="B61" s="414" t="s">
        <v>266</v>
      </c>
      <c r="C61" s="422">
        <f>IFERROR(VLOOKUP(A61,[1]Sheet1!$A:$C,3,FALSE),0)</f>
        <v>542660761</v>
      </c>
      <c r="E61" s="422">
        <f t="shared" si="0"/>
        <v>542660761</v>
      </c>
      <c r="G61" s="414" t="str">
        <f>IF(VLOOKUP(A61,'BASE BALANCE'!C:C,1,FALSE)&lt;&gt;0,"ok","falta")</f>
        <v>ok</v>
      </c>
      <c r="H61" s="414"/>
      <c r="I61" s="414"/>
    </row>
    <row r="62" spans="1:9" x14ac:dyDescent="0.2">
      <c r="A62" s="414" t="s">
        <v>1499</v>
      </c>
      <c r="B62" s="414" t="s">
        <v>1500</v>
      </c>
      <c r="C62" s="422">
        <f>IFERROR(VLOOKUP(A62,[1]Sheet1!$A:$C,3,FALSE),0)</f>
        <v>0</v>
      </c>
      <c r="E62" s="422">
        <f t="shared" si="1"/>
        <v>0</v>
      </c>
      <c r="G62" s="414" t="str">
        <f>IF(VLOOKUP(A62,'BASE BALANCE'!C:C,1,FALSE)&lt;&gt;0,"ok","falta")</f>
        <v>ok</v>
      </c>
      <c r="H62" s="414"/>
      <c r="I62" s="414"/>
    </row>
    <row r="63" spans="1:9" x14ac:dyDescent="0.2">
      <c r="A63" s="414" t="s">
        <v>643</v>
      </c>
      <c r="B63" s="414" t="s">
        <v>644</v>
      </c>
      <c r="C63" s="422">
        <f>IFERROR(VLOOKUP(A63,[1]Sheet1!$A:$C,3,FALSE),0)</f>
        <v>1518612860</v>
      </c>
      <c r="E63" s="422">
        <f t="shared" si="0"/>
        <v>1518612860</v>
      </c>
      <c r="F63" s="555" t="s">
        <v>1477</v>
      </c>
      <c r="G63" s="414" t="str">
        <f>IF(VLOOKUP(A63,'BASE BALANCE'!C:C,1,FALSE)&lt;&gt;0,"ok","falta")</f>
        <v>ok</v>
      </c>
      <c r="H63" s="414"/>
      <c r="I63" s="414"/>
    </row>
    <row r="64" spans="1:9" x14ac:dyDescent="0.2">
      <c r="A64" s="414" t="s">
        <v>645</v>
      </c>
      <c r="B64" s="414" t="s">
        <v>646</v>
      </c>
      <c r="C64" s="422">
        <f>IFERROR(VLOOKUP(A64,[1]Sheet1!$A:$C,3,FALSE),0)</f>
        <v>2406389750</v>
      </c>
      <c r="E64" s="422">
        <f t="shared" si="0"/>
        <v>2406389750</v>
      </c>
      <c r="F64" s="555">
        <v>493303.45</v>
      </c>
      <c r="G64" s="414" t="str">
        <f>IF(VLOOKUP(A64,'BASE BALANCE'!C:C,1,FALSE)&lt;&gt;0,"ok","falta")</f>
        <v>ok</v>
      </c>
      <c r="H64" s="414"/>
      <c r="I64" s="414"/>
    </row>
    <row r="65" spans="1:9" x14ac:dyDescent="0.2">
      <c r="A65" s="414" t="s">
        <v>1478</v>
      </c>
      <c r="B65" s="414" t="s">
        <v>1479</v>
      </c>
      <c r="C65" s="422">
        <f>IFERROR(VLOOKUP(A65,[1]Sheet1!$A:$C,3,FALSE),0)</f>
        <v>1908384731</v>
      </c>
      <c r="E65" s="422">
        <f t="shared" si="1"/>
        <v>1908384731</v>
      </c>
      <c r="G65" s="414" t="str">
        <f>IF(VLOOKUP(A65,'BASE BALANCE'!C:C,1,FALSE)&lt;&gt;0,"ok","falta")</f>
        <v>ok</v>
      </c>
      <c r="H65" s="414"/>
      <c r="I65" s="414"/>
    </row>
    <row r="66" spans="1:9" x14ac:dyDescent="0.2">
      <c r="A66" s="414" t="s">
        <v>650</v>
      </c>
      <c r="B66" s="414" t="s">
        <v>651</v>
      </c>
      <c r="C66" s="422">
        <f>IFERROR(VLOOKUP(A66,[1]Sheet1!$A:$C,3,FALSE),0)</f>
        <v>34665734629</v>
      </c>
      <c r="E66" s="422">
        <f t="shared" si="0"/>
        <v>34665734629</v>
      </c>
      <c r="F66" s="555">
        <v>8764984.1199999992</v>
      </c>
      <c r="G66" s="414" t="str">
        <f>IF(VLOOKUP(A66,'BASE BALANCE'!C:C,1,FALSE)&lt;&gt;0,"ok","falta")</f>
        <v>ok</v>
      </c>
      <c r="H66" s="414"/>
      <c r="I66" s="414"/>
    </row>
    <row r="67" spans="1:9" x14ac:dyDescent="0.2">
      <c r="A67" s="414" t="s">
        <v>652</v>
      </c>
      <c r="B67" s="414" t="s">
        <v>653</v>
      </c>
      <c r="C67" s="422">
        <f>IFERROR(VLOOKUP(A67,[1]Sheet1!$A:$C,3,FALSE),0)</f>
        <v>511443915</v>
      </c>
      <c r="E67" s="422">
        <f t="shared" ref="E67:E69" si="2">+C67+D67</f>
        <v>511443915</v>
      </c>
      <c r="G67" s="414" t="str">
        <f>IF(VLOOKUP(A67,'BASE BALANCE'!C:C,1,FALSE)&lt;&gt;0,"ok","falta")</f>
        <v>ok</v>
      </c>
      <c r="H67" s="414"/>
      <c r="I67" s="414"/>
    </row>
    <row r="68" spans="1:9" x14ac:dyDescent="0.2">
      <c r="A68" s="414" t="s">
        <v>654</v>
      </c>
      <c r="B68" s="414" t="s">
        <v>655</v>
      </c>
      <c r="C68" s="422">
        <f>IFERROR(VLOOKUP(A68,[1]Sheet1!$A:$C,3,FALSE),0)</f>
        <v>244971007</v>
      </c>
      <c r="D68" s="422">
        <f>-D70</f>
        <v>-22449647</v>
      </c>
      <c r="E68" s="422">
        <f t="shared" si="2"/>
        <v>222521360</v>
      </c>
      <c r="G68" s="414" t="str">
        <f>IF(VLOOKUP(A68,'BASE BALANCE'!C:C,1,FALSE)&lt;&gt;0,"ok","falta")</f>
        <v>ok</v>
      </c>
      <c r="H68" s="414"/>
      <c r="I68" s="414"/>
    </row>
    <row r="69" spans="1:9" x14ac:dyDescent="0.2">
      <c r="A69" s="414" t="s">
        <v>656</v>
      </c>
      <c r="B69" s="414" t="s">
        <v>657</v>
      </c>
      <c r="C69" s="422">
        <f>IFERROR(VLOOKUP(A69,[1]Sheet1!$A:$C,3,FALSE),0)</f>
        <v>2859821</v>
      </c>
      <c r="E69" s="422">
        <f t="shared" si="2"/>
        <v>2859821</v>
      </c>
      <c r="G69" s="414" t="str">
        <f>IF(VLOOKUP(A69,'BASE BALANCE'!C:C,1,FALSE)&lt;&gt;0,"ok","falta")</f>
        <v>ok</v>
      </c>
      <c r="H69" s="414"/>
      <c r="I69" s="414"/>
    </row>
    <row r="70" spans="1:9" x14ac:dyDescent="0.2">
      <c r="A70" s="414" t="s">
        <v>658</v>
      </c>
      <c r="B70" s="414" t="s">
        <v>659</v>
      </c>
      <c r="C70" s="422">
        <f>IFERROR(VLOOKUP(A70,[1]Sheet1!$A:$C,3,FALSE),0)</f>
        <v>-22449647</v>
      </c>
      <c r="D70" s="422">
        <f>-C70</f>
        <v>22449647</v>
      </c>
      <c r="E70" s="422">
        <f t="shared" ref="E70" si="3">+C70+D70</f>
        <v>0</v>
      </c>
      <c r="G70" s="414" t="str">
        <f>IF(VLOOKUP(A70,'BASE BALANCE'!C:C,1,FALSE)&lt;&gt;0,"ok","falta")</f>
        <v>ok</v>
      </c>
      <c r="H70" s="414"/>
      <c r="I70" s="414"/>
    </row>
    <row r="71" spans="1:9" x14ac:dyDescent="0.2">
      <c r="A71" s="414" t="s">
        <v>660</v>
      </c>
      <c r="B71" s="414" t="s">
        <v>661</v>
      </c>
      <c r="C71" s="422">
        <f>IFERROR(VLOOKUP(A71,[1]Sheet1!$A:$C,3,FALSE),0)</f>
        <v>6319996</v>
      </c>
      <c r="E71" s="422">
        <f t="shared" si="1"/>
        <v>6319996</v>
      </c>
      <c r="G71" s="414" t="str">
        <f>IF(VLOOKUP(A71,'BASE BALANCE'!C:C,1,FALSE)&lt;&gt;0,"ok","falta")</f>
        <v>ok</v>
      </c>
      <c r="H71" s="414"/>
      <c r="I71" s="414"/>
    </row>
    <row r="72" spans="1:9" x14ac:dyDescent="0.2">
      <c r="A72" s="414" t="s">
        <v>662</v>
      </c>
      <c r="B72" s="414" t="s">
        <v>663</v>
      </c>
      <c r="C72" s="422">
        <f>IFERROR(VLOOKUP(A72,[1]Sheet1!$A:$C,3,FALSE),0)</f>
        <v>0</v>
      </c>
      <c r="E72" s="422">
        <f t="shared" si="1"/>
        <v>0</v>
      </c>
      <c r="G72" s="414" t="str">
        <f>IF(VLOOKUP(A72,'BASE BALANCE'!C:C,1,FALSE)&lt;&gt;0,"ok","falta")</f>
        <v>ok</v>
      </c>
      <c r="H72" s="414"/>
      <c r="I72" s="414"/>
    </row>
    <row r="73" spans="1:9" x14ac:dyDescent="0.2">
      <c r="A73" s="414" t="s">
        <v>664</v>
      </c>
      <c r="B73" s="414" t="s">
        <v>665</v>
      </c>
      <c r="C73" s="422">
        <f>IFERROR(VLOOKUP(A73,[1]Sheet1!$A:$C,3,FALSE),0)</f>
        <v>125000</v>
      </c>
      <c r="E73" s="422">
        <f t="shared" si="1"/>
        <v>125000</v>
      </c>
      <c r="G73" s="414" t="str">
        <f>IF(VLOOKUP(A73,'BASE BALANCE'!C:C,1,FALSE)&lt;&gt;0,"ok","falta")</f>
        <v>ok</v>
      </c>
      <c r="H73" s="414"/>
      <c r="I73" s="414"/>
    </row>
    <row r="74" spans="1:9" x14ac:dyDescent="0.2">
      <c r="A74" s="414" t="s">
        <v>666</v>
      </c>
      <c r="B74" s="414" t="s">
        <v>667</v>
      </c>
      <c r="C74" s="422">
        <f>IFERROR(VLOOKUP(A74,[1]Sheet1!$A:$C,3,FALSE),0)</f>
        <v>573534</v>
      </c>
      <c r="E74" s="422">
        <f t="shared" si="1"/>
        <v>573534</v>
      </c>
      <c r="G74" s="414" t="str">
        <f>IF(VLOOKUP(A74,'BASE BALANCE'!C:C,1,FALSE)&lt;&gt;0,"ok","falta")</f>
        <v>ok</v>
      </c>
      <c r="H74" s="414"/>
      <c r="I74" s="414"/>
    </row>
    <row r="75" spans="1:9" x14ac:dyDescent="0.2">
      <c r="A75" s="414" t="s">
        <v>668</v>
      </c>
      <c r="B75" s="414" t="s">
        <v>669</v>
      </c>
      <c r="C75" s="422">
        <f>IFERROR(VLOOKUP(A75,[1]Sheet1!$A:$C,3,FALSE),0)</f>
        <v>54787055</v>
      </c>
      <c r="D75" s="552">
        <f>-D78</f>
        <v>-43595794</v>
      </c>
      <c r="E75" s="422">
        <f t="shared" si="1"/>
        <v>11191261</v>
      </c>
      <c r="G75" s="414" t="str">
        <f>IF(VLOOKUP(A75,'BASE BALANCE'!C:C,1,FALSE)&lt;&gt;0,"ok","falta")</f>
        <v>ok</v>
      </c>
      <c r="H75" s="414"/>
      <c r="I75" s="414"/>
    </row>
    <row r="76" spans="1:9" x14ac:dyDescent="0.2">
      <c r="A76" s="414" t="s">
        <v>672</v>
      </c>
      <c r="B76" s="414" t="s">
        <v>673</v>
      </c>
      <c r="C76" s="422">
        <f>IFERROR(VLOOKUP(A76,[1]Sheet1!$A:$C,3,FALSE),0)</f>
        <v>5657146</v>
      </c>
      <c r="E76" s="422">
        <f t="shared" ref="E76:E144" si="4">+C76+D76</f>
        <v>5657146</v>
      </c>
      <c r="F76" s="555">
        <v>678.42</v>
      </c>
      <c r="G76" s="414" t="str">
        <f>IF(VLOOKUP(A76,'BASE BALANCE'!C:C,1,FALSE)&lt;&gt;0,"ok","falta")</f>
        <v>ok</v>
      </c>
      <c r="H76" s="414"/>
      <c r="I76" s="414"/>
    </row>
    <row r="77" spans="1:9" x14ac:dyDescent="0.2">
      <c r="A77" s="414" t="s">
        <v>674</v>
      </c>
      <c r="B77" s="414" t="s">
        <v>675</v>
      </c>
      <c r="C77" s="422">
        <f>IFERROR(VLOOKUP(A77,[1]Sheet1!$A:$C,3,FALSE),0)</f>
        <v>72502250</v>
      </c>
      <c r="E77" s="422">
        <f t="shared" si="4"/>
        <v>72502250</v>
      </c>
      <c r="F77" s="555" t="s">
        <v>1477</v>
      </c>
      <c r="G77" s="414" t="str">
        <f>IF(VLOOKUP(A77,'BASE BALANCE'!C:C,1,FALSE)&lt;&gt;0,"ok","falta")</f>
        <v>ok</v>
      </c>
      <c r="H77" s="414"/>
      <c r="I77" s="414"/>
    </row>
    <row r="78" spans="1:9" x14ac:dyDescent="0.2">
      <c r="A78" s="414" t="s">
        <v>676</v>
      </c>
      <c r="B78" s="414" t="s">
        <v>677</v>
      </c>
      <c r="C78" s="422">
        <f>IFERROR(VLOOKUP(A78,[1]Sheet1!$A:$C,3,FALSE),0)</f>
        <v>-43595794</v>
      </c>
      <c r="D78" s="552">
        <f>-C78</f>
        <v>43595794</v>
      </c>
      <c r="E78" s="422">
        <f t="shared" ref="E78" si="5">+C78+D78</f>
        <v>0</v>
      </c>
      <c r="F78" s="555" t="s">
        <v>1477</v>
      </c>
      <c r="G78" s="414" t="str">
        <f>IF(VLOOKUP(A78,'BASE BALANCE'!C:C,1,FALSE)&lt;&gt;0,"ok","falta")</f>
        <v>ok</v>
      </c>
      <c r="H78" s="414"/>
      <c r="I78" s="414"/>
    </row>
    <row r="79" spans="1:9" x14ac:dyDescent="0.2">
      <c r="A79" s="414" t="s">
        <v>678</v>
      </c>
      <c r="B79" s="414" t="s">
        <v>679</v>
      </c>
      <c r="C79" s="422">
        <f>IFERROR(VLOOKUP(A79,[1]Sheet1!$A:$C,3,FALSE),0)</f>
        <v>-3636035789</v>
      </c>
      <c r="D79" s="552">
        <f>-C79</f>
        <v>3636035789</v>
      </c>
      <c r="E79" s="422">
        <f t="shared" si="4"/>
        <v>0</v>
      </c>
      <c r="F79" s="555">
        <v>-6858.76</v>
      </c>
      <c r="G79" s="414" t="str">
        <f>IF(VLOOKUP(A79,'BASE BALANCE'!C:C,1,FALSE)&lt;&gt;0,"ok","falta")</f>
        <v>ok</v>
      </c>
      <c r="H79" s="414"/>
      <c r="I79" s="414"/>
    </row>
    <row r="80" spans="1:9" x14ac:dyDescent="0.2">
      <c r="A80" s="414" t="s">
        <v>680</v>
      </c>
      <c r="B80" s="414" t="s">
        <v>681</v>
      </c>
      <c r="C80" s="422">
        <f>IFERROR(VLOOKUP(A80,[1]Sheet1!$A:$C,3,FALSE),0)</f>
        <v>410381827</v>
      </c>
      <c r="E80" s="422">
        <f t="shared" si="4"/>
        <v>410381827</v>
      </c>
      <c r="F80" s="555" t="s">
        <v>1477</v>
      </c>
      <c r="G80" s="414" t="str">
        <f>IF(VLOOKUP(A80,'BASE BALANCE'!C:C,1,FALSE)&lt;&gt;0,"ok","falta")</f>
        <v>ok</v>
      </c>
      <c r="H80" s="414"/>
      <c r="I80" s="414"/>
    </row>
    <row r="81" spans="1:10" x14ac:dyDescent="0.2">
      <c r="A81" s="414" t="s">
        <v>682</v>
      </c>
      <c r="B81" s="414" t="s">
        <v>683</v>
      </c>
      <c r="C81" s="422">
        <f>IFERROR(VLOOKUP(A81,[1]Sheet1!$A:$C,3,FALSE),0)</f>
        <v>23252287</v>
      </c>
      <c r="E81" s="422">
        <f t="shared" si="4"/>
        <v>23252287</v>
      </c>
      <c r="F81" s="555">
        <v>2465.36</v>
      </c>
      <c r="G81" s="414" t="str">
        <f>IF(VLOOKUP(A81,'BASE BALANCE'!C:C,1,FALSE)&lt;&gt;0,"ok","falta")</f>
        <v>ok</v>
      </c>
      <c r="H81" s="414"/>
      <c r="I81" s="414"/>
    </row>
    <row r="82" spans="1:10" x14ac:dyDescent="0.2">
      <c r="A82" s="414" t="s">
        <v>1501</v>
      </c>
      <c r="B82" s="414" t="s">
        <v>1502</v>
      </c>
      <c r="C82" s="422">
        <f>IFERROR(VLOOKUP(A82,[1]Sheet1!$A:$C,3,FALSE),0)</f>
        <v>2631161500</v>
      </c>
      <c r="E82" s="422">
        <f t="shared" ref="E82" si="6">+C82+D82</f>
        <v>2631161500</v>
      </c>
      <c r="F82" s="555">
        <v>2465.36</v>
      </c>
      <c r="G82" s="414" t="str">
        <f>IF(VLOOKUP(A82,'BASE BALANCE'!C:C,1,FALSE)&lt;&gt;0,"ok","falta")</f>
        <v>ok</v>
      </c>
      <c r="H82" s="414"/>
      <c r="I82" s="414"/>
    </row>
    <row r="83" spans="1:10" x14ac:dyDescent="0.2">
      <c r="A83" s="414" t="s">
        <v>684</v>
      </c>
      <c r="B83" s="414" t="s">
        <v>685</v>
      </c>
      <c r="C83" s="422">
        <f>IFERROR(VLOOKUP(A83,[1]Sheet1!$A:$C,3,FALSE),0)</f>
        <v>18559535</v>
      </c>
      <c r="E83" s="422">
        <f t="shared" si="4"/>
        <v>18559535</v>
      </c>
      <c r="G83" s="414" t="str">
        <f>IF(VLOOKUP(A83,'BASE BALANCE'!C:C,1,FALSE)&lt;&gt;0,"ok","falta")</f>
        <v>ok</v>
      </c>
      <c r="H83" s="414"/>
      <c r="I83" s="414"/>
    </row>
    <row r="84" spans="1:10" x14ac:dyDescent="0.2">
      <c r="A84" s="414" t="s">
        <v>686</v>
      </c>
      <c r="B84" s="414" t="s">
        <v>687</v>
      </c>
      <c r="C84" s="422">
        <f>IFERROR(VLOOKUP(A84,[1]Sheet1!$A:$C,3,FALSE),0)</f>
        <v>259241025</v>
      </c>
      <c r="E84" s="422">
        <f t="shared" si="4"/>
        <v>259241025</v>
      </c>
      <c r="F84" s="555">
        <v>7918.18</v>
      </c>
      <c r="G84" s="414" t="str">
        <f>IF(VLOOKUP(A84,'BASE BALANCE'!C:C,1,FALSE)&lt;&gt;0,"ok","falta")</f>
        <v>ok</v>
      </c>
      <c r="H84" s="414"/>
      <c r="I84" s="414"/>
    </row>
    <row r="85" spans="1:10" x14ac:dyDescent="0.2">
      <c r="A85" s="414" t="s">
        <v>689</v>
      </c>
      <c r="B85" s="414" t="s">
        <v>690</v>
      </c>
      <c r="C85" s="422">
        <f>IFERROR(VLOOKUP(A85,[1]Sheet1!$A:$C,3,FALSE),0)</f>
        <v>4285714</v>
      </c>
      <c r="E85" s="422">
        <f t="shared" si="4"/>
        <v>4285714</v>
      </c>
      <c r="G85" s="414" t="str">
        <f>IF(VLOOKUP(A85,'BASE BALANCE'!C:C,1,FALSE)&lt;&gt;0,"ok","falta")</f>
        <v>ok</v>
      </c>
      <c r="J85" s="519"/>
    </row>
    <row r="86" spans="1:10" x14ac:dyDescent="0.2">
      <c r="A86" s="414" t="s">
        <v>693</v>
      </c>
      <c r="B86" s="414" t="s">
        <v>688</v>
      </c>
      <c r="C86" s="422">
        <f>IFERROR(VLOOKUP(A86,[1]Sheet1!$A:$C,3,FALSE),0)</f>
        <v>42047586</v>
      </c>
      <c r="E86" s="422">
        <f t="shared" si="4"/>
        <v>42047586</v>
      </c>
      <c r="G86" s="414" t="str">
        <f>IF(VLOOKUP(A86,'BASE BALANCE'!C:C,1,FALSE)&lt;&gt;0,"ok","falta")</f>
        <v>ok</v>
      </c>
      <c r="H86" s="414"/>
      <c r="I86" s="414"/>
    </row>
    <row r="87" spans="1:10" x14ac:dyDescent="0.2">
      <c r="A87" s="414" t="s">
        <v>694</v>
      </c>
      <c r="B87" s="414" t="s">
        <v>695</v>
      </c>
      <c r="C87" s="422">
        <f>IFERROR(VLOOKUP(A87,[1]Sheet1!$A:$C,3,FALSE),0)</f>
        <v>1525717354</v>
      </c>
      <c r="E87" s="422">
        <f t="shared" si="4"/>
        <v>1525717354</v>
      </c>
      <c r="F87" s="555" t="s">
        <v>1477</v>
      </c>
      <c r="G87" s="414" t="str">
        <f>IF(VLOOKUP(A87,'BASE BALANCE'!C:C,1,FALSE)&lt;&gt;0,"ok","falta")</f>
        <v>ok</v>
      </c>
      <c r="H87" s="414"/>
      <c r="I87" s="414"/>
    </row>
    <row r="88" spans="1:10" x14ac:dyDescent="0.2">
      <c r="A88" s="414" t="s">
        <v>696</v>
      </c>
      <c r="B88" s="414" t="s">
        <v>697</v>
      </c>
      <c r="C88" s="422">
        <f>IFERROR(VLOOKUP(A88,[1]Sheet1!$A:$C,3,FALSE),0)</f>
        <v>189758475</v>
      </c>
      <c r="E88" s="422">
        <f t="shared" si="4"/>
        <v>189758475</v>
      </c>
      <c r="F88" s="555">
        <v>19951.810000000001</v>
      </c>
      <c r="G88" s="414" t="str">
        <f>IF(VLOOKUP(A88,'BASE BALANCE'!C:C,1,FALSE)&lt;&gt;0,"ok","falta")</f>
        <v>ok</v>
      </c>
      <c r="H88" s="414"/>
      <c r="I88" s="414"/>
    </row>
    <row r="89" spans="1:10" x14ac:dyDescent="0.2">
      <c r="A89" s="520" t="s">
        <v>699</v>
      </c>
      <c r="B89" s="520" t="s">
        <v>700</v>
      </c>
      <c r="C89" s="422">
        <f>IFERROR(VLOOKUP(A89,[1]Sheet1!$A:$C,3,FALSE),0)</f>
        <v>5264556528</v>
      </c>
      <c r="D89" s="521">
        <v>0</v>
      </c>
      <c r="E89" s="521">
        <f>-C89-D89</f>
        <v>-5264556528</v>
      </c>
      <c r="F89" s="555">
        <v>193018.64</v>
      </c>
      <c r="G89" s="414" t="str">
        <f>IF(VLOOKUP(A89,'BASE BALANCE'!C:C,1,FALSE)&lt;&gt;0,"ok","falta")</f>
        <v>ok</v>
      </c>
      <c r="H89" s="414"/>
      <c r="I89" s="414"/>
    </row>
    <row r="90" spans="1:10" x14ac:dyDescent="0.2">
      <c r="A90" s="414" t="s">
        <v>701</v>
      </c>
      <c r="B90" s="414" t="s">
        <v>702</v>
      </c>
      <c r="C90" s="422">
        <f>IFERROR(VLOOKUP(A90,[1]Sheet1!$A:$C,3,FALSE),0)</f>
        <v>36210068148</v>
      </c>
      <c r="D90" s="552">
        <f>-D79</f>
        <v>-3636035789</v>
      </c>
      <c r="E90" s="422">
        <f t="shared" si="4"/>
        <v>32574032359</v>
      </c>
      <c r="G90" s="414" t="str">
        <f>IF(VLOOKUP(A90,'BASE BALANCE'!C:C,1,FALSE)&lt;&gt;0,"ok","falta")</f>
        <v>ok</v>
      </c>
      <c r="H90" s="414"/>
      <c r="I90" s="414"/>
    </row>
    <row r="91" spans="1:10" x14ac:dyDescent="0.2">
      <c r="A91" s="414" t="s">
        <v>703</v>
      </c>
      <c r="B91" s="414" t="s">
        <v>704</v>
      </c>
      <c r="C91" s="422">
        <f>IFERROR(VLOOKUP(A91,[1]Sheet1!$A:$C,3,FALSE),0)</f>
        <v>12055460001</v>
      </c>
      <c r="E91" s="422">
        <f t="shared" si="4"/>
        <v>12055460001</v>
      </c>
      <c r="G91" s="414" t="str">
        <f>IF(VLOOKUP(A91,'BASE BALANCE'!C:C,1,FALSE)&lt;&gt;0,"ok","falta")</f>
        <v>ok</v>
      </c>
      <c r="H91" s="414"/>
      <c r="I91" s="414"/>
    </row>
    <row r="92" spans="1:10" x14ac:dyDescent="0.2">
      <c r="A92" s="414" t="s">
        <v>705</v>
      </c>
      <c r="B92" s="414" t="s">
        <v>706</v>
      </c>
      <c r="C92" s="422">
        <f>IFERROR(VLOOKUP(A92,[1]Sheet1!$A:$C,3,FALSE),0)</f>
        <v>10226689242</v>
      </c>
      <c r="E92" s="422">
        <f t="shared" si="4"/>
        <v>10226689242</v>
      </c>
      <c r="G92" s="414" t="str">
        <f>IF(VLOOKUP(A92,'BASE BALANCE'!C:C,1,FALSE)&lt;&gt;0,"ok","falta")</f>
        <v>ok</v>
      </c>
      <c r="H92" s="414"/>
      <c r="I92" s="414"/>
    </row>
    <row r="93" spans="1:10" x14ac:dyDescent="0.2">
      <c r="A93" s="414" t="s">
        <v>707</v>
      </c>
      <c r="B93" s="414" t="s">
        <v>708</v>
      </c>
      <c r="C93" s="422">
        <f>IFERROR(VLOOKUP(A93,[1]Sheet1!$A:$C,3,FALSE),0)</f>
        <v>5484105773</v>
      </c>
      <c r="E93" s="422">
        <f t="shared" si="4"/>
        <v>5484105773</v>
      </c>
      <c r="F93" s="555">
        <v>-1801.64</v>
      </c>
      <c r="G93" s="414" t="str">
        <f>IF(VLOOKUP(A93,'BASE BALANCE'!C:C,1,FALSE)&lt;&gt;0,"ok","falta")</f>
        <v>ok</v>
      </c>
      <c r="H93" s="414"/>
      <c r="I93" s="414"/>
    </row>
    <row r="94" spans="1:10" x14ac:dyDescent="0.2">
      <c r="A94" s="414" t="s">
        <v>709</v>
      </c>
      <c r="B94" s="414" t="s">
        <v>710</v>
      </c>
      <c r="C94" s="422">
        <f>IFERROR(VLOOKUP(A94,[1]Sheet1!$A:$C,3,FALSE),0)</f>
        <v>37443758478</v>
      </c>
      <c r="E94" s="422">
        <f t="shared" si="4"/>
        <v>37443758478</v>
      </c>
      <c r="G94" s="414" t="str">
        <f>IF(VLOOKUP(A94,'BASE BALANCE'!C:C,1,FALSE)&lt;&gt;0,"ok","falta")</f>
        <v>ok</v>
      </c>
      <c r="H94" s="414"/>
      <c r="I94" s="414"/>
    </row>
    <row r="95" spans="1:10" x14ac:dyDescent="0.2">
      <c r="A95" s="414" t="s">
        <v>711</v>
      </c>
      <c r="B95" s="414" t="s">
        <v>712</v>
      </c>
      <c r="C95" s="422">
        <f>IFERROR(VLOOKUP(A95,[1]Sheet1!$A:$C,3,FALSE),0)</f>
        <v>3503462</v>
      </c>
      <c r="E95" s="422">
        <f t="shared" si="4"/>
        <v>3503462</v>
      </c>
      <c r="G95" s="414" t="str">
        <f>IF(VLOOKUP(A95,'BASE BALANCE'!C:C,1,FALSE)&lt;&gt;0,"ok","falta")</f>
        <v>ok</v>
      </c>
      <c r="H95" s="414"/>
      <c r="I95" s="414"/>
    </row>
    <row r="96" spans="1:10" x14ac:dyDescent="0.2">
      <c r="A96" s="414" t="s">
        <v>713</v>
      </c>
      <c r="B96" s="414" t="s">
        <v>714</v>
      </c>
      <c r="C96" s="422">
        <f>IFERROR(VLOOKUP(A96,[1]Sheet1!$A:$C,3,FALSE),0)</f>
        <v>463572531</v>
      </c>
      <c r="E96" s="422">
        <f t="shared" si="4"/>
        <v>463572531</v>
      </c>
      <c r="G96" s="414" t="str">
        <f>IF(VLOOKUP(A96,'BASE BALANCE'!C:C,1,FALSE)&lt;&gt;0,"ok","falta")</f>
        <v>ok</v>
      </c>
      <c r="H96" s="414"/>
      <c r="I96" s="414"/>
    </row>
    <row r="97" spans="1:9" x14ac:dyDescent="0.2">
      <c r="A97" s="414" t="s">
        <v>715</v>
      </c>
      <c r="B97" s="414" t="s">
        <v>716</v>
      </c>
      <c r="C97" s="422">
        <f>IFERROR(VLOOKUP(A97,[1]Sheet1!$A:$C,3,FALSE),0)</f>
        <v>218534930</v>
      </c>
      <c r="E97" s="422">
        <f t="shared" si="4"/>
        <v>218534930</v>
      </c>
      <c r="G97" s="414" t="str">
        <f>IF(VLOOKUP(A97,'BASE BALANCE'!C:C,1,FALSE)&lt;&gt;0,"ok","falta")</f>
        <v>ok</v>
      </c>
      <c r="H97" s="414"/>
      <c r="I97" s="414"/>
    </row>
    <row r="98" spans="1:9" x14ac:dyDescent="0.2">
      <c r="A98" s="414" t="s">
        <v>717</v>
      </c>
      <c r="B98" s="414" t="s">
        <v>718</v>
      </c>
      <c r="C98" s="422">
        <f>IFERROR(VLOOKUP(A98,[1]Sheet1!$A:$C,3,FALSE),0)</f>
        <v>6165622071</v>
      </c>
      <c r="E98" s="422">
        <f t="shared" si="4"/>
        <v>6165622071</v>
      </c>
      <c r="G98" s="414" t="str">
        <f>IF(VLOOKUP(A98,'BASE BALANCE'!C:C,1,FALSE)&lt;&gt;0,"ok","falta")</f>
        <v>ok</v>
      </c>
      <c r="H98" s="414"/>
      <c r="I98" s="414"/>
    </row>
    <row r="99" spans="1:9" x14ac:dyDescent="0.2">
      <c r="A99" s="414" t="s">
        <v>719</v>
      </c>
      <c r="B99" s="414" t="s">
        <v>720</v>
      </c>
      <c r="C99" s="422">
        <f>IFERROR(VLOOKUP(A99,[1]Sheet1!$A:$C,3,FALSE),0)</f>
        <v>-3956096749</v>
      </c>
      <c r="D99" s="422">
        <v>0</v>
      </c>
      <c r="E99" s="422">
        <f t="shared" si="4"/>
        <v>-3956096749</v>
      </c>
      <c r="F99" s="555">
        <v>4619.88</v>
      </c>
      <c r="G99" s="414" t="str">
        <f>IF(VLOOKUP(A99,'BASE BALANCE'!C:C,1,FALSE)&lt;&gt;0,"ok","falta")</f>
        <v>ok</v>
      </c>
      <c r="H99" s="414"/>
      <c r="I99" s="414"/>
    </row>
    <row r="100" spans="1:9" x14ac:dyDescent="0.2">
      <c r="A100" s="414" t="s">
        <v>721</v>
      </c>
      <c r="B100" s="414" t="s">
        <v>722</v>
      </c>
      <c r="C100" s="422">
        <f>IFERROR(VLOOKUP(A100,[1]Sheet1!$A:$C,3,FALSE),0)</f>
        <v>103665517</v>
      </c>
      <c r="E100" s="422">
        <f t="shared" si="4"/>
        <v>103665517</v>
      </c>
      <c r="G100" s="414" t="str">
        <f>IF(VLOOKUP(A100,'BASE BALANCE'!C:C,1,FALSE)&lt;&gt;0,"ok","falta")</f>
        <v>ok</v>
      </c>
      <c r="H100" s="414"/>
      <c r="I100" s="414"/>
    </row>
    <row r="101" spans="1:9" x14ac:dyDescent="0.2">
      <c r="A101" s="414" t="s">
        <v>723</v>
      </c>
      <c r="B101" s="414" t="s">
        <v>724</v>
      </c>
      <c r="C101" s="422">
        <f>IFERROR(VLOOKUP(A101,[1]Sheet1!$A:$C,3,FALSE),0)</f>
        <v>11497746731</v>
      </c>
      <c r="E101" s="422">
        <f t="shared" si="4"/>
        <v>11497746731</v>
      </c>
      <c r="G101" s="414" t="str">
        <f>IF(VLOOKUP(A101,'BASE BALANCE'!C:C,1,FALSE)&lt;&gt;0,"ok","falta")</f>
        <v>ok</v>
      </c>
      <c r="H101" s="414"/>
      <c r="I101" s="414"/>
    </row>
    <row r="102" spans="1:9" x14ac:dyDescent="0.2">
      <c r="A102" s="414" t="s">
        <v>725</v>
      </c>
      <c r="B102" s="414" t="s">
        <v>726</v>
      </c>
      <c r="C102" s="422">
        <f>IFERROR(VLOOKUP(A102,[1]Sheet1!$A:$C,3,FALSE),0)</f>
        <v>-48936196</v>
      </c>
      <c r="D102" s="422">
        <v>0</v>
      </c>
      <c r="E102" s="422">
        <f t="shared" si="4"/>
        <v>-48936196</v>
      </c>
      <c r="G102" s="414" t="str">
        <f>IF(VLOOKUP(A102,'BASE BALANCE'!C:C,1,FALSE)&lt;&gt;0,"ok","falta")</f>
        <v>ok</v>
      </c>
      <c r="H102" s="414"/>
      <c r="I102" s="414"/>
    </row>
    <row r="103" spans="1:9" x14ac:dyDescent="0.2">
      <c r="A103" s="414" t="s">
        <v>727</v>
      </c>
      <c r="B103" s="414" t="s">
        <v>728</v>
      </c>
      <c r="C103" s="422">
        <f>IFERROR(VLOOKUP(A103,[1]Sheet1!$A:$C,3,FALSE),0)</f>
        <v>-98562311</v>
      </c>
      <c r="D103" s="422">
        <f>C106</f>
        <v>-409888</v>
      </c>
      <c r="E103" s="422">
        <f t="shared" si="4"/>
        <v>-98972199</v>
      </c>
      <c r="G103" s="414" t="str">
        <f>IF(VLOOKUP(A103,'BASE BALANCE'!C:C,1,FALSE)&lt;&gt;0,"ok","falta")</f>
        <v>ok</v>
      </c>
      <c r="H103" s="414"/>
      <c r="I103" s="414"/>
    </row>
    <row r="104" spans="1:9" x14ac:dyDescent="0.2">
      <c r="A104" s="414" t="s">
        <v>729</v>
      </c>
      <c r="B104" s="414" t="s">
        <v>730</v>
      </c>
      <c r="C104" s="422">
        <f>IFERROR(VLOOKUP(A104,[1]Sheet1!$A:$C,3,FALSE),0)</f>
        <v>7441</v>
      </c>
      <c r="E104" s="422">
        <f t="shared" si="4"/>
        <v>7441</v>
      </c>
      <c r="G104" s="414" t="str">
        <f>IF(VLOOKUP(A104,'BASE BALANCE'!C:C,1,FALSE)&lt;&gt;0,"ok","falta")</f>
        <v>ok</v>
      </c>
      <c r="H104" s="414"/>
      <c r="I104" s="414"/>
    </row>
    <row r="105" spans="1:9" x14ac:dyDescent="0.2">
      <c r="A105" s="414" t="s">
        <v>733</v>
      </c>
      <c r="B105" s="414" t="s">
        <v>1480</v>
      </c>
      <c r="C105" s="422">
        <f>IFERROR(VLOOKUP(A105,[1]Sheet1!$A:$C,3,FALSE),0)</f>
        <v>-121</v>
      </c>
      <c r="E105" s="422">
        <f t="shared" si="4"/>
        <v>-121</v>
      </c>
      <c r="G105" s="414" t="str">
        <f>IF(VLOOKUP(A105,'BASE BALANCE'!C:C,1,FALSE)&lt;&gt;0,"ok","falta")</f>
        <v>ok</v>
      </c>
      <c r="H105" s="414"/>
      <c r="I105" s="414"/>
    </row>
    <row r="106" spans="1:9" x14ac:dyDescent="0.2">
      <c r="A106" s="414" t="s">
        <v>1520</v>
      </c>
      <c r="B106" s="414" t="s">
        <v>1529</v>
      </c>
      <c r="C106" s="422">
        <f>IFERROR(VLOOKUP(A106,[1]Sheet1!$A:$C,3,FALSE),0)</f>
        <v>-409888</v>
      </c>
      <c r="D106" s="422">
        <f>-C106</f>
        <v>409888</v>
      </c>
      <c r="E106" s="552">
        <f t="shared" si="4"/>
        <v>0</v>
      </c>
      <c r="F106" s="553"/>
      <c r="G106" s="554" t="e">
        <f>IF(VLOOKUP(A106,'BASE BALANCE'!C:C,1,FALSE)&lt;&gt;0,"ok","falta")</f>
        <v>#N/A</v>
      </c>
      <c r="H106" s="414"/>
      <c r="I106" s="414"/>
    </row>
    <row r="107" spans="1:9" x14ac:dyDescent="0.2">
      <c r="A107" s="414" t="s">
        <v>735</v>
      </c>
      <c r="B107" s="414" t="s">
        <v>736</v>
      </c>
      <c r="C107" s="422">
        <f>IFERROR(VLOOKUP(A107,[1]Sheet1!$A:$C,3,FALSE),0)</f>
        <v>8854749</v>
      </c>
      <c r="E107" s="422">
        <f t="shared" si="4"/>
        <v>8854749</v>
      </c>
      <c r="F107" s="555">
        <v>39611.69</v>
      </c>
      <c r="G107" s="414" t="str">
        <f>IF(VLOOKUP(A107,'BASE BALANCE'!C:C,1,FALSE)&lt;&gt;0,"ok","falta")</f>
        <v>ok</v>
      </c>
      <c r="H107" s="414"/>
      <c r="I107" s="414"/>
    </row>
    <row r="108" spans="1:9" x14ac:dyDescent="0.2">
      <c r="A108" s="414" t="s">
        <v>737</v>
      </c>
      <c r="B108" s="414" t="s">
        <v>738</v>
      </c>
      <c r="C108" s="422">
        <f>IFERROR(VLOOKUP(A108,[1]Sheet1!$A:$C,3,FALSE),0)</f>
        <v>83940131</v>
      </c>
      <c r="E108" s="422">
        <f t="shared" si="4"/>
        <v>83940131</v>
      </c>
      <c r="F108" s="555">
        <v>113190.9</v>
      </c>
      <c r="G108" s="414" t="str">
        <f>IF(VLOOKUP(A108,'BASE BALANCE'!C:C,1,FALSE)&lt;&gt;0,"ok","falta")</f>
        <v>ok</v>
      </c>
      <c r="H108" s="414"/>
      <c r="I108" s="414"/>
    </row>
    <row r="109" spans="1:9" x14ac:dyDescent="0.2">
      <c r="A109" s="414" t="s">
        <v>739</v>
      </c>
      <c r="B109" s="414" t="s">
        <v>740</v>
      </c>
      <c r="C109" s="422">
        <f>IFERROR(VLOOKUP(A109,[1]Sheet1!$A:$C,3,FALSE),0)</f>
        <v>79325177</v>
      </c>
      <c r="E109" s="422">
        <f t="shared" si="4"/>
        <v>79325177</v>
      </c>
      <c r="F109" s="555">
        <v>151952.26999999999</v>
      </c>
      <c r="G109" s="414" t="str">
        <f>IF(VLOOKUP(A109,'BASE BALANCE'!C:C,1,FALSE)&lt;&gt;0,"ok","falta")</f>
        <v>ok</v>
      </c>
      <c r="H109" s="414"/>
      <c r="I109" s="414"/>
    </row>
    <row r="110" spans="1:9" x14ac:dyDescent="0.2">
      <c r="A110" s="414" t="s">
        <v>741</v>
      </c>
      <c r="B110" s="414" t="s">
        <v>742</v>
      </c>
      <c r="C110" s="422">
        <f>IFERROR(VLOOKUP(A110,[1]Sheet1!$A:$C,3,FALSE),0)</f>
        <v>579</v>
      </c>
      <c r="E110" s="422">
        <f t="shared" si="4"/>
        <v>579</v>
      </c>
      <c r="G110" s="414" t="str">
        <f>IF(VLOOKUP(A110,'BASE BALANCE'!C:C,1,FALSE)&lt;&gt;0,"ok","falta")</f>
        <v>ok</v>
      </c>
      <c r="H110" s="414"/>
      <c r="I110" s="414"/>
    </row>
    <row r="111" spans="1:9" x14ac:dyDescent="0.2">
      <c r="A111" s="414" t="s">
        <v>743</v>
      </c>
      <c r="B111" s="414" t="s">
        <v>744</v>
      </c>
      <c r="C111" s="422">
        <f>IFERROR(VLOOKUP(A111,[1]Sheet1!$A:$C,3,FALSE),0)</f>
        <v>149</v>
      </c>
      <c r="E111" s="422">
        <f t="shared" si="4"/>
        <v>149</v>
      </c>
      <c r="G111" s="414" t="str">
        <f>IF(VLOOKUP(A111,'BASE BALANCE'!C:C,1,FALSE)&lt;&gt;0,"ok","falta")</f>
        <v>ok</v>
      </c>
      <c r="H111" s="414"/>
      <c r="I111" s="414"/>
    </row>
    <row r="112" spans="1:9" x14ac:dyDescent="0.2">
      <c r="A112" s="414" t="s">
        <v>745</v>
      </c>
      <c r="B112" s="414" t="s">
        <v>746</v>
      </c>
      <c r="C112" s="422">
        <f>IFERROR(VLOOKUP(A112,[1]Sheet1!$A:$C,3,FALSE),0)</f>
        <v>2097164190</v>
      </c>
      <c r="E112" s="422">
        <f t="shared" si="4"/>
        <v>2097164190</v>
      </c>
      <c r="F112" s="555">
        <v>8090.91</v>
      </c>
      <c r="G112" s="414" t="str">
        <f>IF(VLOOKUP(A112,'BASE BALANCE'!C:C,1,FALSE)&lt;&gt;0,"ok","falta")</f>
        <v>ok</v>
      </c>
      <c r="H112" s="414"/>
      <c r="I112" s="414"/>
    </row>
    <row r="113" spans="1:9" x14ac:dyDescent="0.2">
      <c r="A113" s="414" t="s">
        <v>749</v>
      </c>
      <c r="B113" s="414" t="s">
        <v>750</v>
      </c>
      <c r="C113" s="422">
        <f>IFERROR(VLOOKUP(A113,[1]Sheet1!$A:$C,3,FALSE),0)</f>
        <v>-23</v>
      </c>
      <c r="E113" s="422">
        <f t="shared" si="4"/>
        <v>-23</v>
      </c>
      <c r="G113" s="414" t="str">
        <f>IF(VLOOKUP(A113,'BASE BALANCE'!C:C,1,FALSE)&lt;&gt;0,"ok","falta")</f>
        <v>ok</v>
      </c>
      <c r="H113" s="414"/>
      <c r="I113" s="414"/>
    </row>
    <row r="114" spans="1:9" x14ac:dyDescent="0.2">
      <c r="A114" s="414" t="s">
        <v>751</v>
      </c>
      <c r="B114" s="414" t="s">
        <v>752</v>
      </c>
      <c r="C114" s="422">
        <f>IFERROR(VLOOKUP(A114,[1]Sheet1!$A:$C,3,FALSE),0)</f>
        <v>1908595575</v>
      </c>
      <c r="E114" s="422">
        <f t="shared" si="4"/>
        <v>1908595575</v>
      </c>
      <c r="G114" s="414" t="str">
        <f>IF(VLOOKUP(A114,'BASE BALANCE'!C:C,1,FALSE)&lt;&gt;0,"ok","falta")</f>
        <v>ok</v>
      </c>
      <c r="H114" s="414"/>
      <c r="I114" s="414"/>
    </row>
    <row r="115" spans="1:9" x14ac:dyDescent="0.2">
      <c r="A115" s="414" t="s">
        <v>753</v>
      </c>
      <c r="B115" s="414" t="s">
        <v>754</v>
      </c>
      <c r="C115" s="422">
        <f>IFERROR(VLOOKUP(A115,[1]Sheet1!$A:$C,3,FALSE),0)</f>
        <v>1419672165</v>
      </c>
      <c r="E115" s="422">
        <f t="shared" si="4"/>
        <v>1419672165</v>
      </c>
      <c r="G115" s="414" t="str">
        <f>IF(VLOOKUP(A115,'BASE BALANCE'!C:C,1,FALSE)&lt;&gt;0,"ok","falta")</f>
        <v>ok</v>
      </c>
      <c r="H115" s="414"/>
      <c r="I115" s="414"/>
    </row>
    <row r="116" spans="1:9" x14ac:dyDescent="0.2">
      <c r="A116" s="414" t="s">
        <v>755</v>
      </c>
      <c r="B116" s="414" t="s">
        <v>756</v>
      </c>
      <c r="C116" s="422">
        <f>IFERROR(VLOOKUP(A116,[1]Sheet1!$A:$C,3,FALSE),0)</f>
        <v>14499710</v>
      </c>
      <c r="E116" s="422">
        <f t="shared" si="4"/>
        <v>14499710</v>
      </c>
      <c r="G116" s="414" t="str">
        <f>IF(VLOOKUP(A116,'BASE BALANCE'!C:C,1,FALSE)&lt;&gt;0,"ok","falta")</f>
        <v>ok</v>
      </c>
      <c r="H116" s="414"/>
      <c r="I116" s="414"/>
    </row>
    <row r="117" spans="1:9" x14ac:dyDescent="0.2">
      <c r="A117" s="414" t="s">
        <v>757</v>
      </c>
      <c r="B117" s="414" t="s">
        <v>758</v>
      </c>
      <c r="C117" s="422">
        <f>IFERROR(VLOOKUP(A117,[1]Sheet1!$A:$C,3,FALSE),0)</f>
        <v>39421059</v>
      </c>
      <c r="E117" s="422">
        <f t="shared" si="4"/>
        <v>39421059</v>
      </c>
      <c r="G117" s="414" t="str">
        <f>IF(VLOOKUP(A117,'BASE BALANCE'!C:C,1,FALSE)&lt;&gt;0,"ok","falta")</f>
        <v>ok</v>
      </c>
      <c r="H117" s="414"/>
      <c r="I117" s="414"/>
    </row>
    <row r="118" spans="1:9" x14ac:dyDescent="0.2">
      <c r="A118" s="414" t="s">
        <v>759</v>
      </c>
      <c r="B118" s="414" t="s">
        <v>760</v>
      </c>
      <c r="C118" s="422">
        <f>IFERROR(VLOOKUP(A118,[1]Sheet1!$A:$C,3,FALSE),0)</f>
        <v>1467644083</v>
      </c>
      <c r="E118" s="422">
        <f t="shared" si="4"/>
        <v>1467644083</v>
      </c>
      <c r="G118" s="414" t="str">
        <f>IF(VLOOKUP(A118,'BASE BALANCE'!C:C,1,FALSE)&lt;&gt;0,"ok","falta")</f>
        <v>ok</v>
      </c>
      <c r="H118" s="414"/>
      <c r="I118" s="414"/>
    </row>
    <row r="119" spans="1:9" x14ac:dyDescent="0.2">
      <c r="A119" s="414" t="s">
        <v>761</v>
      </c>
      <c r="B119" s="414" t="s">
        <v>762</v>
      </c>
      <c r="C119" s="422">
        <f>IFERROR(VLOOKUP(A119,[1]Sheet1!$A:$C,3,FALSE),0)</f>
        <v>7440043325</v>
      </c>
      <c r="E119" s="422">
        <f t="shared" si="4"/>
        <v>7440043325</v>
      </c>
      <c r="G119" s="414" t="str">
        <f>IF(VLOOKUP(A119,'BASE BALANCE'!C:C,1,FALSE)&lt;&gt;0,"ok","falta")</f>
        <v>ok</v>
      </c>
      <c r="H119" s="414"/>
      <c r="I119" s="414"/>
    </row>
    <row r="120" spans="1:9" x14ac:dyDescent="0.2">
      <c r="A120" s="414" t="s">
        <v>763</v>
      </c>
      <c r="B120" s="414" t="s">
        <v>764</v>
      </c>
      <c r="C120" s="422">
        <f>IFERROR(VLOOKUP(A120,[1]Sheet1!$A:$C,3,FALSE),0)</f>
        <v>140772685</v>
      </c>
      <c r="E120" s="422">
        <f t="shared" si="4"/>
        <v>140772685</v>
      </c>
      <c r="G120" s="414" t="str">
        <f>IF(VLOOKUP(A120,'BASE BALANCE'!C:C,1,FALSE)&lt;&gt;0,"ok","falta")</f>
        <v>ok</v>
      </c>
      <c r="H120" s="414"/>
      <c r="I120" s="414"/>
    </row>
    <row r="121" spans="1:9" x14ac:dyDescent="0.2">
      <c r="A121" s="414" t="s">
        <v>765</v>
      </c>
      <c r="B121" s="414" t="s">
        <v>766</v>
      </c>
      <c r="C121" s="422">
        <f>IFERROR(VLOOKUP(A121,[1]Sheet1!$A:$C,3,FALSE),0)</f>
        <v>8763904325</v>
      </c>
      <c r="E121" s="551">
        <f>C121+D121</f>
        <v>8763904325</v>
      </c>
      <c r="F121" s="555" t="s">
        <v>1477</v>
      </c>
      <c r="G121" s="414" t="str">
        <f>IF(VLOOKUP(A121,'BASE BALANCE'!C:C,1,FALSE)&lt;&gt;0,"ok","falta")</f>
        <v>ok</v>
      </c>
      <c r="H121" s="414"/>
      <c r="I121" s="414"/>
    </row>
    <row r="122" spans="1:9" x14ac:dyDescent="0.2">
      <c r="A122" s="414" t="s">
        <v>767</v>
      </c>
      <c r="B122" s="414" t="s">
        <v>768</v>
      </c>
      <c r="C122" s="422">
        <f>IFERROR(VLOOKUP(A122,[1]Sheet1!$A:$C,3,FALSE),0)</f>
        <v>623744369</v>
      </c>
      <c r="D122" s="550">
        <f>-D123</f>
        <v>24879803</v>
      </c>
      <c r="E122" s="422">
        <f t="shared" si="4"/>
        <v>648624172</v>
      </c>
      <c r="G122" s="414" t="str">
        <f>IF(VLOOKUP(A122,'BASE BALANCE'!C:C,1,FALSE)&lt;&gt;0,"ok","falta")</f>
        <v>ok</v>
      </c>
      <c r="H122" s="414"/>
      <c r="I122" s="414"/>
    </row>
    <row r="123" spans="1:9" x14ac:dyDescent="0.2">
      <c r="A123" s="414" t="s">
        <v>769</v>
      </c>
      <c r="B123" s="414" t="s">
        <v>770</v>
      </c>
      <c r="C123" s="422">
        <f>IFERROR(VLOOKUP(A123,[1]Sheet1!$A:$C,3,FALSE),0)</f>
        <v>24879803</v>
      </c>
      <c r="D123" s="550">
        <f>-C123</f>
        <v>-24879803</v>
      </c>
      <c r="E123" s="422">
        <f t="shared" si="4"/>
        <v>0</v>
      </c>
      <c r="G123" s="414" t="str">
        <f>IF(VLOOKUP(A123,'BASE BALANCE'!C:C,1,FALSE)&lt;&gt;0,"ok","falta")</f>
        <v>ok</v>
      </c>
      <c r="H123" s="414"/>
      <c r="I123" s="414"/>
    </row>
    <row r="124" spans="1:9" x14ac:dyDescent="0.2">
      <c r="A124" s="414" t="s">
        <v>772</v>
      </c>
      <c r="B124" s="414" t="s">
        <v>287</v>
      </c>
      <c r="C124" s="422">
        <f>IFERROR(VLOOKUP(A124,[1]Sheet1!$A:$C,3,FALSE),0)</f>
        <v>12997134637</v>
      </c>
      <c r="D124" s="422">
        <v>0</v>
      </c>
      <c r="E124" s="422">
        <f t="shared" si="4"/>
        <v>12997134637</v>
      </c>
      <c r="F124" s="555">
        <v>98522.17</v>
      </c>
      <c r="G124" s="414" t="str">
        <f>IF(VLOOKUP(A124,'BASE BALANCE'!C:C,1,FALSE)&lt;&gt;0,"ok","falta")</f>
        <v>ok</v>
      </c>
      <c r="H124" s="414"/>
      <c r="I124" s="414"/>
    </row>
    <row r="125" spans="1:9" x14ac:dyDescent="0.2">
      <c r="A125" s="414" t="s">
        <v>773</v>
      </c>
      <c r="B125" s="414" t="s">
        <v>774</v>
      </c>
      <c r="C125" s="422">
        <f>IFERROR(VLOOKUP(A125,[1]Sheet1!$A:$C,3,FALSE),0)</f>
        <v>86176965194</v>
      </c>
      <c r="E125" s="422">
        <f t="shared" si="4"/>
        <v>86176965194</v>
      </c>
      <c r="G125" s="414" t="str">
        <f>IF(VLOOKUP(A125,'BASE BALANCE'!C:C,1,FALSE)&lt;&gt;0,"ok","falta")</f>
        <v>ok</v>
      </c>
      <c r="H125" s="414"/>
      <c r="I125" s="414"/>
    </row>
    <row r="126" spans="1:9" x14ac:dyDescent="0.2">
      <c r="A126" s="414" t="s">
        <v>775</v>
      </c>
      <c r="B126" s="414" t="s">
        <v>776</v>
      </c>
      <c r="C126" s="422">
        <f>IFERROR(VLOOKUP(A126,[1]Sheet1!$A:$C,3,FALSE),0)</f>
        <v>-16484925773</v>
      </c>
      <c r="E126" s="422">
        <f t="shared" si="4"/>
        <v>-16484925773</v>
      </c>
      <c r="G126" s="414" t="str">
        <f>IF(VLOOKUP(A126,'BASE BALANCE'!C:C,1,FALSE)&lt;&gt;0,"ok","falta")</f>
        <v>ok</v>
      </c>
      <c r="H126" s="414"/>
      <c r="I126" s="414"/>
    </row>
    <row r="127" spans="1:9" x14ac:dyDescent="0.2">
      <c r="A127" s="414" t="s">
        <v>777</v>
      </c>
      <c r="B127" s="414" t="s">
        <v>289</v>
      </c>
      <c r="C127" s="422">
        <f>IFERROR(VLOOKUP(A127,[1]Sheet1!$A:$C,3,FALSE),0)</f>
        <v>4630059717</v>
      </c>
      <c r="E127" s="422">
        <f t="shared" si="4"/>
        <v>4630059717</v>
      </c>
      <c r="F127" s="555">
        <v>70840</v>
      </c>
      <c r="G127" s="414" t="str">
        <f>IF(VLOOKUP(A127,'BASE BALANCE'!C:C,1,FALSE)&lt;&gt;0,"ok","falta")</f>
        <v>ok</v>
      </c>
      <c r="H127" s="414"/>
      <c r="I127" s="414"/>
    </row>
    <row r="128" spans="1:9" x14ac:dyDescent="0.2">
      <c r="A128" s="414" t="s">
        <v>778</v>
      </c>
      <c r="B128" s="414" t="s">
        <v>486</v>
      </c>
      <c r="C128" s="422">
        <f>IFERROR(VLOOKUP(A128,[1]Sheet1!$A:$C,3,FALSE),0)</f>
        <v>15987204525</v>
      </c>
      <c r="E128" s="422">
        <f t="shared" si="4"/>
        <v>15987204525</v>
      </c>
      <c r="G128" s="414" t="str">
        <f>IF(VLOOKUP(A128,'BASE BALANCE'!C:C,1,FALSE)&lt;&gt;0,"ok","falta")</f>
        <v>ok</v>
      </c>
      <c r="H128" s="414"/>
      <c r="I128" s="414"/>
    </row>
    <row r="129" spans="1:9" x14ac:dyDescent="0.2">
      <c r="A129" s="414" t="s">
        <v>779</v>
      </c>
      <c r="B129" s="414" t="s">
        <v>780</v>
      </c>
      <c r="C129" s="422">
        <f>IFERROR(VLOOKUP(A129,[1]Sheet1!$A:$C,3,FALSE),0)</f>
        <v>-3331680306</v>
      </c>
      <c r="E129" s="422">
        <f t="shared" si="4"/>
        <v>-3331680306</v>
      </c>
      <c r="G129" s="414" t="str">
        <f>IF(VLOOKUP(A129,'BASE BALANCE'!C:C,1,FALSE)&lt;&gt;0,"ok","falta")</f>
        <v>ok</v>
      </c>
      <c r="H129" s="414"/>
      <c r="I129" s="414"/>
    </row>
    <row r="130" spans="1:9" x14ac:dyDescent="0.2">
      <c r="A130" s="414" t="s">
        <v>781</v>
      </c>
      <c r="B130" s="414" t="s">
        <v>782</v>
      </c>
      <c r="C130" s="422">
        <f>IFERROR(VLOOKUP(A130,[1]Sheet1!$A:$C,3,FALSE),0)</f>
        <v>88654274203</v>
      </c>
      <c r="D130" s="422">
        <v>0</v>
      </c>
      <c r="E130" s="422">
        <f t="shared" si="4"/>
        <v>88654274203</v>
      </c>
      <c r="F130" s="555">
        <v>2636.36</v>
      </c>
      <c r="G130" s="414" t="str">
        <f>IF(VLOOKUP(A130,'BASE BALANCE'!C:C,1,FALSE)&lt;&gt;0,"ok","falta")</f>
        <v>ok</v>
      </c>
      <c r="H130" s="414"/>
      <c r="I130" s="414"/>
    </row>
    <row r="131" spans="1:9" x14ac:dyDescent="0.2">
      <c r="A131" s="414" t="s">
        <v>783</v>
      </c>
      <c r="B131" s="414" t="s">
        <v>784</v>
      </c>
      <c r="C131" s="422">
        <f>IFERROR(VLOOKUP(A131,[1]Sheet1!$A:$C,3,FALSE),0)</f>
        <v>-49542635972</v>
      </c>
      <c r="E131" s="422">
        <f t="shared" si="4"/>
        <v>-49542635972</v>
      </c>
      <c r="G131" s="414" t="str">
        <f>IF(VLOOKUP(A131,'BASE BALANCE'!C:C,1,FALSE)&lt;&gt;0,"ok","falta")</f>
        <v>ok</v>
      </c>
      <c r="H131" s="414"/>
      <c r="I131" s="414"/>
    </row>
    <row r="132" spans="1:9" x14ac:dyDescent="0.2">
      <c r="A132" s="414" t="s">
        <v>785</v>
      </c>
      <c r="B132" s="414" t="s">
        <v>291</v>
      </c>
      <c r="C132" s="422">
        <f>IFERROR(VLOOKUP(A132,[1]Sheet1!$A:$C,3,FALSE),0)</f>
        <v>696499357</v>
      </c>
      <c r="E132" s="422">
        <f t="shared" si="4"/>
        <v>696499357</v>
      </c>
      <c r="G132" s="414" t="str">
        <f>IF(VLOOKUP(A132,'BASE BALANCE'!C:C,1,FALSE)&lt;&gt;0,"ok","falta")</f>
        <v>ok</v>
      </c>
      <c r="H132" s="414"/>
      <c r="I132" s="414"/>
    </row>
    <row r="133" spans="1:9" x14ac:dyDescent="0.2">
      <c r="A133" s="414" t="s">
        <v>786</v>
      </c>
      <c r="B133" s="414" t="s">
        <v>787</v>
      </c>
      <c r="C133" s="422">
        <f>IFERROR(VLOOKUP(A133,[1]Sheet1!$A:$C,3,FALSE),0)</f>
        <v>-609983978</v>
      </c>
      <c r="E133" s="422">
        <f t="shared" si="4"/>
        <v>-609983978</v>
      </c>
      <c r="G133" s="414" t="str">
        <f>IF(VLOOKUP(A133,'BASE BALANCE'!C:C,1,FALSE)&lt;&gt;0,"ok","falta")</f>
        <v>ok</v>
      </c>
      <c r="H133" s="414"/>
      <c r="I133" s="414"/>
    </row>
    <row r="134" spans="1:9" x14ac:dyDescent="0.2">
      <c r="A134" s="414" t="s">
        <v>788</v>
      </c>
      <c r="B134" s="414" t="s">
        <v>789</v>
      </c>
      <c r="C134" s="422">
        <f>IFERROR(VLOOKUP(A134,[1]Sheet1!$A:$C,3,FALSE),0)</f>
        <v>2881628414</v>
      </c>
      <c r="E134" s="422">
        <f t="shared" si="4"/>
        <v>2881628414</v>
      </c>
      <c r="G134" s="414" t="str">
        <f>IF(VLOOKUP(A134,'BASE BALANCE'!C:C,1,FALSE)&lt;&gt;0,"ok","falta")</f>
        <v>ok</v>
      </c>
      <c r="H134" s="414"/>
      <c r="I134" s="414"/>
    </row>
    <row r="135" spans="1:9" x14ac:dyDescent="0.2">
      <c r="A135" s="414" t="s">
        <v>790</v>
      </c>
      <c r="B135" s="414" t="s">
        <v>791</v>
      </c>
      <c r="C135" s="422">
        <f>IFERROR(VLOOKUP(A135,[1]Sheet1!$A:$C,3,FALSE),0)</f>
        <v>-1405180805</v>
      </c>
      <c r="E135" s="422">
        <f t="shared" si="4"/>
        <v>-1405180805</v>
      </c>
      <c r="G135" s="414" t="str">
        <f>IF(VLOOKUP(A135,'BASE BALANCE'!C:C,1,FALSE)&lt;&gt;0,"ok","falta")</f>
        <v>ok</v>
      </c>
      <c r="H135" s="414"/>
      <c r="I135" s="414"/>
    </row>
    <row r="136" spans="1:9" x14ac:dyDescent="0.2">
      <c r="A136" s="414" t="s">
        <v>792</v>
      </c>
      <c r="B136" s="414" t="s">
        <v>793</v>
      </c>
      <c r="C136" s="422">
        <f>IFERROR(VLOOKUP(A136,[1]Sheet1!$A:$C,3,FALSE),0)</f>
        <v>889450716</v>
      </c>
      <c r="E136" s="422">
        <f t="shared" si="4"/>
        <v>889450716</v>
      </c>
      <c r="F136" s="555">
        <v>6363.64</v>
      </c>
      <c r="G136" s="414" t="str">
        <f>IF(VLOOKUP(A136,'BASE BALANCE'!C:C,1,FALSE)&lt;&gt;0,"ok","falta")</f>
        <v>ok</v>
      </c>
      <c r="H136" s="414"/>
      <c r="I136" s="414"/>
    </row>
    <row r="137" spans="1:9" x14ac:dyDescent="0.2">
      <c r="A137" s="414" t="s">
        <v>794</v>
      </c>
      <c r="B137" s="414" t="s">
        <v>795</v>
      </c>
      <c r="C137" s="422">
        <f>IFERROR(VLOOKUP(A137,[1]Sheet1!$A:$C,3,FALSE),0)</f>
        <v>-266254027</v>
      </c>
      <c r="E137" s="422">
        <f t="shared" si="4"/>
        <v>-266254027</v>
      </c>
      <c r="G137" s="414" t="str">
        <f>IF(VLOOKUP(A137,'BASE BALANCE'!C:C,1,FALSE)&lt;&gt;0,"ok","falta")</f>
        <v>ok</v>
      </c>
      <c r="H137" s="414"/>
      <c r="I137" s="414"/>
    </row>
    <row r="138" spans="1:9" x14ac:dyDescent="0.2">
      <c r="A138" s="414" t="s">
        <v>796</v>
      </c>
      <c r="B138" s="414" t="s">
        <v>797</v>
      </c>
      <c r="C138" s="422">
        <f>IFERROR(VLOOKUP(A138,[1]Sheet1!$A:$C,3,FALSE),0)</f>
        <v>3126274007</v>
      </c>
      <c r="E138" s="422">
        <f t="shared" si="4"/>
        <v>3126274007</v>
      </c>
      <c r="F138" s="555">
        <v>2631.83</v>
      </c>
      <c r="G138" s="414" t="str">
        <f>IF(VLOOKUP(A138,'BASE BALANCE'!C:C,1,FALSE)&lt;&gt;0,"ok","falta")</f>
        <v>ok</v>
      </c>
      <c r="H138" s="414"/>
      <c r="I138" s="414"/>
    </row>
    <row r="139" spans="1:9" x14ac:dyDescent="0.2">
      <c r="A139" s="414" t="s">
        <v>798</v>
      </c>
      <c r="B139" s="414" t="s">
        <v>799</v>
      </c>
      <c r="C139" s="422">
        <f>IFERROR(VLOOKUP(A139,[1]Sheet1!$A:$C,3,FALSE),0)</f>
        <v>-2424870891</v>
      </c>
      <c r="E139" s="422">
        <f t="shared" si="4"/>
        <v>-2424870891</v>
      </c>
      <c r="G139" s="414" t="str">
        <f>IF(VLOOKUP(A139,'BASE BALANCE'!C:C,1,FALSE)&lt;&gt;0,"ok","falta")</f>
        <v>ok</v>
      </c>
      <c r="H139" s="414"/>
      <c r="I139" s="414"/>
    </row>
    <row r="140" spans="1:9" x14ac:dyDescent="0.2">
      <c r="A140" s="414" t="s">
        <v>800</v>
      </c>
      <c r="B140" s="414" t="s">
        <v>801</v>
      </c>
      <c r="C140" s="422">
        <f>IFERROR(VLOOKUP(A140,[1]Sheet1!$A:$C,3,FALSE),0)</f>
        <v>3843110851</v>
      </c>
      <c r="E140" s="422">
        <f t="shared" si="4"/>
        <v>3843110851</v>
      </c>
      <c r="F140" s="555">
        <v>61390.21</v>
      </c>
      <c r="G140" s="414" t="str">
        <f>IF(VLOOKUP(A140,'BASE BALANCE'!C:C,1,FALSE)&lt;&gt;0,"ok","falta")</f>
        <v>ok</v>
      </c>
      <c r="H140" s="414"/>
      <c r="I140" s="414"/>
    </row>
    <row r="141" spans="1:9" x14ac:dyDescent="0.2">
      <c r="A141" s="414" t="s">
        <v>802</v>
      </c>
      <c r="B141" s="414" t="s">
        <v>803</v>
      </c>
      <c r="C141" s="422">
        <f>IFERROR(VLOOKUP(A141,[1]Sheet1!$A:$C,3,FALSE),0)</f>
        <v>-2812824948</v>
      </c>
      <c r="E141" s="422">
        <f t="shared" si="4"/>
        <v>-2812824948</v>
      </c>
      <c r="G141" s="414" t="str">
        <f>IF(VLOOKUP(A141,'BASE BALANCE'!C:C,1,FALSE)&lt;&gt;0,"ok","falta")</f>
        <v>ok</v>
      </c>
      <c r="H141" s="414"/>
      <c r="I141" s="414"/>
    </row>
    <row r="142" spans="1:9" x14ac:dyDescent="0.2">
      <c r="A142" s="414" t="s">
        <v>804</v>
      </c>
      <c r="B142" s="414" t="s">
        <v>805</v>
      </c>
      <c r="C142" s="422">
        <f>IFERROR(VLOOKUP(A142,[1]Sheet1!$A:$C,3,FALSE),0)</f>
        <v>550208454</v>
      </c>
      <c r="E142" s="422">
        <f t="shared" ref="E142" si="7">+C142+D142</f>
        <v>550208454</v>
      </c>
      <c r="G142" s="414" t="str">
        <f>IF(VLOOKUP(A142,'BASE BALANCE'!C:C,1,FALSE)&lt;&gt;0,"ok","falta")</f>
        <v>ok</v>
      </c>
      <c r="H142" s="414"/>
      <c r="I142" s="414"/>
    </row>
    <row r="143" spans="1:9" x14ac:dyDescent="0.2">
      <c r="A143" s="414" t="s">
        <v>806</v>
      </c>
      <c r="B143" s="414" t="s">
        <v>807</v>
      </c>
      <c r="C143" s="422">
        <f>IFERROR(VLOOKUP(A143,[1]Sheet1!$A:$C,3,FALSE),0)</f>
        <v>3979717726</v>
      </c>
      <c r="E143" s="422">
        <f t="shared" si="4"/>
        <v>3979717726</v>
      </c>
      <c r="F143" s="555" t="s">
        <v>1477</v>
      </c>
      <c r="G143" s="414" t="str">
        <f>IF(VLOOKUP(A143,'BASE BALANCE'!C:C,1,FALSE)&lt;&gt;0,"ok","falta")</f>
        <v>ok</v>
      </c>
      <c r="H143" s="414"/>
      <c r="I143" s="414"/>
    </row>
    <row r="144" spans="1:9" x14ac:dyDescent="0.2">
      <c r="A144" s="414" t="s">
        <v>808</v>
      </c>
      <c r="B144" s="414" t="s">
        <v>809</v>
      </c>
      <c r="C144" s="422">
        <f>IFERROR(VLOOKUP(A144,[1]Sheet1!$A:$C,3,FALSE),0)</f>
        <v>90184407</v>
      </c>
      <c r="E144" s="422">
        <f t="shared" si="4"/>
        <v>90184407</v>
      </c>
      <c r="F144" s="555" t="s">
        <v>1477</v>
      </c>
      <c r="G144" s="414" t="str">
        <f>IF(VLOOKUP(A144,'BASE BALANCE'!C:C,1,FALSE)&lt;&gt;0,"ok","falta")</f>
        <v>ok</v>
      </c>
      <c r="H144" s="414"/>
      <c r="I144" s="414"/>
    </row>
    <row r="145" spans="1:10" x14ac:dyDescent="0.2">
      <c r="A145" s="414" t="s">
        <v>810</v>
      </c>
      <c r="B145" s="414" t="s">
        <v>811</v>
      </c>
      <c r="C145" s="422">
        <f>IFERROR(VLOOKUP(A145,[1]Sheet1!$A:$C,3,FALSE),0)</f>
        <v>-11404870</v>
      </c>
      <c r="E145" s="422">
        <f t="shared" ref="E145:E215" si="8">+C145+D145</f>
        <v>-11404870</v>
      </c>
      <c r="G145" s="414" t="str">
        <f>IF(VLOOKUP(A145,'BASE BALANCE'!C:C,1,FALSE)&lt;&gt;0,"ok","falta")</f>
        <v>ok</v>
      </c>
      <c r="H145" s="414"/>
      <c r="I145" s="414"/>
    </row>
    <row r="146" spans="1:10" x14ac:dyDescent="0.2">
      <c r="A146" s="414" t="s">
        <v>812</v>
      </c>
      <c r="B146" s="414" t="s">
        <v>813</v>
      </c>
      <c r="C146" s="422">
        <f>IFERROR(VLOOKUP(A146,[1]Sheet1!$A:$C,3,FALSE),0)</f>
        <v>1851544942</v>
      </c>
      <c r="E146" s="422">
        <f t="shared" si="8"/>
        <v>1851544942</v>
      </c>
      <c r="F146" s="555">
        <v>253990.14</v>
      </c>
      <c r="G146" s="414" t="str">
        <f>IF(VLOOKUP(A146,'BASE BALANCE'!C:C,1,FALSE)&lt;&gt;0,"ok","falta")</f>
        <v>ok</v>
      </c>
      <c r="J146" s="519"/>
    </row>
    <row r="147" spans="1:10" x14ac:dyDescent="0.2">
      <c r="A147" s="414" t="s">
        <v>818</v>
      </c>
      <c r="B147" s="414" t="s">
        <v>819</v>
      </c>
      <c r="C147" s="422">
        <f>IFERROR(VLOOKUP(A147,[1]Sheet1!$A:$C,3,FALSE),0)</f>
        <v>340272893</v>
      </c>
      <c r="E147" s="422">
        <f t="shared" si="8"/>
        <v>340272893</v>
      </c>
      <c r="F147" s="555">
        <v>2909.09</v>
      </c>
      <c r="G147" s="414" t="str">
        <f>IF(VLOOKUP(A147,'BASE BALANCE'!C:C,1,FALSE)&lt;&gt;0,"ok","falta")</f>
        <v>ok</v>
      </c>
      <c r="H147" s="414"/>
      <c r="I147" s="414"/>
    </row>
    <row r="148" spans="1:10" x14ac:dyDescent="0.2">
      <c r="A148" s="414" t="s">
        <v>822</v>
      </c>
      <c r="B148" s="414" t="s">
        <v>823</v>
      </c>
      <c r="C148" s="422">
        <f>IFERROR(VLOOKUP(A148,[1]Sheet1!$A:$C,3,FALSE),0)</f>
        <v>112819291</v>
      </c>
      <c r="E148" s="422">
        <f t="shared" si="8"/>
        <v>112819291</v>
      </c>
      <c r="G148" s="414" t="str">
        <f>IF(VLOOKUP(A148,'BASE BALANCE'!C:C,1,FALSE)&lt;&gt;0,"ok","falta")</f>
        <v>ok</v>
      </c>
      <c r="H148" s="414"/>
      <c r="I148" s="414"/>
    </row>
    <row r="149" spans="1:10" x14ac:dyDescent="0.2">
      <c r="A149" s="414" t="s">
        <v>824</v>
      </c>
      <c r="B149" s="414" t="s">
        <v>825</v>
      </c>
      <c r="C149" s="422">
        <f>IFERROR(VLOOKUP(A149,[1]Sheet1!$A:$C,3,FALSE),0)</f>
        <v>941915436</v>
      </c>
      <c r="E149" s="422">
        <f t="shared" si="8"/>
        <v>941915436</v>
      </c>
      <c r="F149" s="555">
        <v>161444.34</v>
      </c>
      <c r="G149" s="414" t="str">
        <f>IF(VLOOKUP(A149,'BASE BALANCE'!C:C,1,FALSE)&lt;&gt;0,"ok","falta")</f>
        <v>ok</v>
      </c>
      <c r="H149" s="414"/>
      <c r="I149" s="414"/>
    </row>
    <row r="150" spans="1:10" x14ac:dyDescent="0.2">
      <c r="A150" s="414" t="s">
        <v>826</v>
      </c>
      <c r="B150" s="414" t="s">
        <v>827</v>
      </c>
      <c r="C150" s="422">
        <f>IFERROR(VLOOKUP(A150,[1]Sheet1!$A:$C,3,FALSE),0)</f>
        <v>89231888452</v>
      </c>
      <c r="D150" s="422">
        <f>-D130</f>
        <v>0</v>
      </c>
      <c r="E150" s="422">
        <f t="shared" si="8"/>
        <v>89231888452</v>
      </c>
      <c r="F150" s="555">
        <v>874975.52</v>
      </c>
      <c r="G150" s="414" t="str">
        <f>IF(VLOOKUP(A150,'BASE BALANCE'!C:C,1,FALSE)&lt;&gt;0,"ok","falta")</f>
        <v>ok</v>
      </c>
      <c r="H150" s="414"/>
      <c r="I150" s="414"/>
    </row>
    <row r="151" spans="1:10" x14ac:dyDescent="0.2">
      <c r="A151" s="414" t="s">
        <v>828</v>
      </c>
      <c r="B151" s="414" t="s">
        <v>829</v>
      </c>
      <c r="C151" s="422">
        <f>IFERROR(VLOOKUP(A151,[1]Sheet1!$A:$C,3,FALSE),0)</f>
        <v>1141922728</v>
      </c>
      <c r="D151" s="422">
        <f>-D124</f>
        <v>0</v>
      </c>
      <c r="E151" s="422">
        <f t="shared" si="8"/>
        <v>1141922728</v>
      </c>
      <c r="F151" s="555">
        <v>154545.45000000001</v>
      </c>
      <c r="G151" s="414" t="str">
        <f>IF(VLOOKUP(A151,'BASE BALANCE'!C:C,1,FALSE)&lt;&gt;0,"ok","falta")</f>
        <v>ok</v>
      </c>
      <c r="H151" s="414"/>
      <c r="I151" s="414"/>
    </row>
    <row r="152" spans="1:10" x14ac:dyDescent="0.2">
      <c r="A152" s="520" t="s">
        <v>830</v>
      </c>
      <c r="B152" s="520" t="s">
        <v>831</v>
      </c>
      <c r="C152" s="422">
        <f>IFERROR(VLOOKUP(A152,[1]Sheet1!$A:$C,3,FALSE),0)</f>
        <v>29725430990</v>
      </c>
      <c r="D152" s="521">
        <v>0</v>
      </c>
      <c r="E152" s="521">
        <f>-C152-D152</f>
        <v>-29725430990</v>
      </c>
      <c r="F152" s="555">
        <v>356898.62</v>
      </c>
      <c r="G152" s="414" t="str">
        <f>IF(VLOOKUP(A152,'BASE BALANCE'!C:C,1,FALSE)&lt;&gt;0,"ok","falta")</f>
        <v>ok</v>
      </c>
      <c r="H152" s="414"/>
      <c r="I152" s="414"/>
    </row>
    <row r="153" spans="1:10" x14ac:dyDescent="0.2">
      <c r="A153" s="554" t="s">
        <v>833</v>
      </c>
      <c r="B153" s="554" t="s">
        <v>304</v>
      </c>
      <c r="C153" s="552">
        <f>IFERROR(VLOOKUP(A153,[1]Sheet1!$A:$C,3,FALSE),0)</f>
        <v>30997766930</v>
      </c>
      <c r="D153" s="552">
        <v>-28406856956</v>
      </c>
      <c r="E153" s="552">
        <f t="shared" si="8"/>
        <v>2590909974</v>
      </c>
      <c r="F153" s="555" t="s">
        <v>1477</v>
      </c>
      <c r="G153" s="414" t="str">
        <f>IF(VLOOKUP(A153,'BASE BALANCE'!C:C,1,FALSE)&lt;&gt;0,"ok","falta")</f>
        <v>ok</v>
      </c>
      <c r="H153" s="414"/>
      <c r="I153" s="414"/>
    </row>
    <row r="154" spans="1:10" x14ac:dyDescent="0.2">
      <c r="A154" s="414" t="s">
        <v>834</v>
      </c>
      <c r="B154" s="414" t="s">
        <v>835</v>
      </c>
      <c r="C154" s="422">
        <f>IFERROR(VLOOKUP(A154,[1]Sheet1!$A:$C,3,FALSE),0)</f>
        <v>1638353009</v>
      </c>
      <c r="E154" s="422">
        <f t="shared" si="8"/>
        <v>1638353009</v>
      </c>
      <c r="F154" s="555" t="s">
        <v>1477</v>
      </c>
      <c r="G154" s="414" t="str">
        <f>IF(VLOOKUP(A154,'BASE BALANCE'!C:C,1,FALSE)&lt;&gt;0,"ok","falta")</f>
        <v>ok</v>
      </c>
      <c r="H154" s="414"/>
      <c r="I154" s="414"/>
    </row>
    <row r="155" spans="1:10" x14ac:dyDescent="0.2">
      <c r="A155" s="414" t="s">
        <v>836</v>
      </c>
      <c r="B155" s="414" t="s">
        <v>307</v>
      </c>
      <c r="C155" s="422">
        <f>IFERROR(VLOOKUP(A155,[1]Sheet1!$A:$C,3,FALSE),0)</f>
        <v>194490225</v>
      </c>
      <c r="E155" s="422">
        <f t="shared" si="8"/>
        <v>194490225</v>
      </c>
      <c r="F155" s="555" t="s">
        <v>1477</v>
      </c>
      <c r="G155" s="414" t="str">
        <f>IF(VLOOKUP(A155,'BASE BALANCE'!C:C,1,FALSE)&lt;&gt;0,"ok","falta")</f>
        <v>ok</v>
      </c>
      <c r="H155" s="414"/>
      <c r="I155" s="414"/>
    </row>
    <row r="156" spans="1:10" x14ac:dyDescent="0.2">
      <c r="A156" s="414" t="s">
        <v>838</v>
      </c>
      <c r="B156" s="414" t="s">
        <v>839</v>
      </c>
      <c r="C156" s="422">
        <f>IFERROR(VLOOKUP(A156,[1]Sheet1!$A:$C,3,FALSE),0)</f>
        <v>5067427</v>
      </c>
      <c r="E156" s="422">
        <f t="shared" si="8"/>
        <v>5067427</v>
      </c>
      <c r="F156" s="555" t="s">
        <v>1477</v>
      </c>
      <c r="G156" s="414" t="str">
        <f>IF(VLOOKUP(A156,'BASE BALANCE'!C:C,1,FALSE)&lt;&gt;0,"ok","falta")</f>
        <v>ok</v>
      </c>
      <c r="H156" s="414"/>
      <c r="I156" s="414"/>
    </row>
    <row r="157" spans="1:10" x14ac:dyDescent="0.2">
      <c r="A157" s="414" t="s">
        <v>842</v>
      </c>
      <c r="B157" s="414" t="s">
        <v>843</v>
      </c>
      <c r="C157" s="422">
        <f>IFERROR(VLOOKUP(A157,[1]Sheet1!$A:$C,3,FALSE),0)</f>
        <v>6870000</v>
      </c>
      <c r="E157" s="422">
        <f t="shared" si="8"/>
        <v>6870000</v>
      </c>
      <c r="G157" s="414" t="str">
        <f>IF(VLOOKUP(A157,'BASE BALANCE'!C:C,1,FALSE)&lt;&gt;0,"ok","falta")</f>
        <v>ok</v>
      </c>
      <c r="H157" s="414"/>
      <c r="I157" s="414"/>
    </row>
    <row r="158" spans="1:10" x14ac:dyDescent="0.2">
      <c r="A158" s="414" t="s">
        <v>844</v>
      </c>
      <c r="B158" s="414" t="s">
        <v>845</v>
      </c>
      <c r="C158" s="422">
        <f>IFERROR(VLOOKUP(A158,[1]Sheet1!$A:$C,3,FALSE),0)</f>
        <v>3523341</v>
      </c>
      <c r="E158" s="422">
        <f t="shared" si="8"/>
        <v>3523341</v>
      </c>
      <c r="F158" s="555">
        <v>120</v>
      </c>
      <c r="G158" s="414" t="str">
        <f>IF(VLOOKUP(A158,'BASE BALANCE'!C:C,1,FALSE)&lt;&gt;0,"ok","falta")</f>
        <v>ok</v>
      </c>
      <c r="H158" s="414"/>
      <c r="I158" s="414"/>
    </row>
    <row r="159" spans="1:10" x14ac:dyDescent="0.2">
      <c r="A159" s="414" t="s">
        <v>846</v>
      </c>
      <c r="B159" s="414" t="s">
        <v>847</v>
      </c>
      <c r="C159" s="422">
        <f>IFERROR(VLOOKUP(A159,[1]Sheet1!$A:$C,3,FALSE),0)</f>
        <v>1951345</v>
      </c>
      <c r="E159" s="422">
        <f t="shared" si="8"/>
        <v>1951345</v>
      </c>
      <c r="F159" s="555">
        <v>45.28</v>
      </c>
      <c r="G159" s="414" t="str">
        <f>IF(VLOOKUP(A159,'BASE BALANCE'!C:C,1,FALSE)&lt;&gt;0,"ok","falta")</f>
        <v>ok</v>
      </c>
      <c r="H159" s="414"/>
      <c r="I159" s="414"/>
    </row>
    <row r="160" spans="1:10" x14ac:dyDescent="0.2">
      <c r="A160" s="414" t="s">
        <v>848</v>
      </c>
      <c r="B160" s="414" t="s">
        <v>849</v>
      </c>
      <c r="C160" s="422">
        <f>IFERROR(VLOOKUP(A160,[1]Sheet1!$A:$C,3,FALSE),0)</f>
        <v>0</v>
      </c>
      <c r="E160" s="422">
        <f t="shared" si="8"/>
        <v>0</v>
      </c>
      <c r="G160" s="414" t="str">
        <f>IF(VLOOKUP(A160,'BASE BALANCE'!C:C,1,FALSE)&lt;&gt;0,"ok","falta")</f>
        <v>ok</v>
      </c>
      <c r="H160" s="414"/>
      <c r="I160" s="414"/>
    </row>
    <row r="161" spans="1:9" x14ac:dyDescent="0.2">
      <c r="A161" s="414" t="s">
        <v>850</v>
      </c>
      <c r="B161" s="414" t="s">
        <v>851</v>
      </c>
      <c r="C161" s="422">
        <f>IFERROR(VLOOKUP(A161,[1]Sheet1!$A:$C,3,FALSE),0)</f>
        <v>3333582</v>
      </c>
      <c r="E161" s="422">
        <f t="shared" si="8"/>
        <v>3333582</v>
      </c>
      <c r="G161" s="414" t="str">
        <f>IF(VLOOKUP(A161,'BASE BALANCE'!C:C,1,FALSE)&lt;&gt;0,"ok","falta")</f>
        <v>ok</v>
      </c>
      <c r="H161" s="414"/>
      <c r="I161" s="414"/>
    </row>
    <row r="162" spans="1:9" x14ac:dyDescent="0.2">
      <c r="A162" s="414" t="s">
        <v>852</v>
      </c>
      <c r="B162" s="414" t="s">
        <v>853</v>
      </c>
      <c r="C162" s="422">
        <f>IFERROR(VLOOKUP(A162,[1]Sheet1!$A:$C,3,FALSE),0)</f>
        <v>1932000</v>
      </c>
      <c r="E162" s="422">
        <f t="shared" si="8"/>
        <v>1932000</v>
      </c>
      <c r="G162" s="414" t="str">
        <f>IF(VLOOKUP(A162,'BASE BALANCE'!C:C,1,FALSE)&lt;&gt;0,"ok","falta")</f>
        <v>ok</v>
      </c>
      <c r="H162" s="414"/>
      <c r="I162" s="414"/>
    </row>
    <row r="163" spans="1:9" x14ac:dyDescent="0.2">
      <c r="A163" s="414" t="s">
        <v>854</v>
      </c>
      <c r="B163" s="414" t="s">
        <v>855</v>
      </c>
      <c r="C163" s="422">
        <f>IFERROR(VLOOKUP(A163,[1]Sheet1!$A:$C,3,FALSE),0)</f>
        <v>2713861</v>
      </c>
      <c r="E163" s="422">
        <f t="shared" ref="E163" si="9">+C163+D163</f>
        <v>2713861</v>
      </c>
      <c r="G163" s="414" t="str">
        <f>IF(VLOOKUP(A163,'BASE BALANCE'!C:C,1,FALSE)&lt;&gt;0,"ok","falta")</f>
        <v>ok</v>
      </c>
      <c r="H163" s="414"/>
      <c r="I163" s="414"/>
    </row>
    <row r="164" spans="1:9" x14ac:dyDescent="0.2">
      <c r="A164" s="414" t="s">
        <v>856</v>
      </c>
      <c r="B164" s="414" t="s">
        <v>857</v>
      </c>
      <c r="C164" s="422">
        <f>IFERROR(VLOOKUP(A164,[1]Sheet1!$A:$C,3,FALSE),0)</f>
        <v>4195000</v>
      </c>
      <c r="E164" s="422">
        <f t="shared" si="8"/>
        <v>4195000</v>
      </c>
      <c r="G164" s="414" t="str">
        <f>IF(VLOOKUP(A164,'BASE BALANCE'!C:C,1,FALSE)&lt;&gt;0,"ok","falta")</f>
        <v>ok</v>
      </c>
      <c r="H164" s="414"/>
      <c r="I164" s="414"/>
    </row>
    <row r="165" spans="1:9" x14ac:dyDescent="0.2">
      <c r="A165" s="414" t="s">
        <v>858</v>
      </c>
      <c r="B165" s="414" t="s">
        <v>859</v>
      </c>
      <c r="C165" s="422">
        <f>IFERROR(VLOOKUP(A165,[1]Sheet1!$A:$C,3,FALSE),0)</f>
        <v>1029833</v>
      </c>
      <c r="E165" s="422">
        <f t="shared" si="8"/>
        <v>1029833</v>
      </c>
      <c r="G165" s="414" t="str">
        <f>IF(VLOOKUP(A165,'BASE BALANCE'!C:C,1,FALSE)&lt;&gt;0,"ok","falta")</f>
        <v>ok</v>
      </c>
      <c r="H165" s="414"/>
      <c r="I165" s="414"/>
    </row>
    <row r="166" spans="1:9" x14ac:dyDescent="0.2">
      <c r="A166" s="414" t="s">
        <v>862</v>
      </c>
      <c r="B166" s="414" t="s">
        <v>861</v>
      </c>
      <c r="C166" s="422">
        <f>IFERROR(VLOOKUP(A166,[1]Sheet1!$A:$C,3,FALSE),0)</f>
        <v>537744868</v>
      </c>
      <c r="E166" s="422">
        <f t="shared" si="8"/>
        <v>537744868</v>
      </c>
      <c r="G166" s="414" t="str">
        <f>IF(VLOOKUP(A166,'BASE BALANCE'!C:C,1,FALSE)&lt;&gt;0,"ok","falta")</f>
        <v>ok</v>
      </c>
      <c r="H166" s="414"/>
      <c r="I166" s="414"/>
    </row>
    <row r="167" spans="1:9" x14ac:dyDescent="0.2">
      <c r="A167" s="414" t="s">
        <v>864</v>
      </c>
      <c r="B167" s="414" t="s">
        <v>863</v>
      </c>
      <c r="C167" s="422">
        <f>IFERROR(VLOOKUP(A167,[1]Sheet1!$A:$C,3,FALSE),0)</f>
        <v>296309281</v>
      </c>
      <c r="E167" s="422">
        <f t="shared" si="8"/>
        <v>296309281</v>
      </c>
      <c r="F167" s="555" t="s">
        <v>1477</v>
      </c>
      <c r="G167" s="414" t="str">
        <f>IF(VLOOKUP(A167,'BASE BALANCE'!C:C,1,FALSE)&lt;&gt;0,"ok","falta")</f>
        <v>ok</v>
      </c>
      <c r="H167" s="519"/>
      <c r="I167" s="519"/>
    </row>
    <row r="168" spans="1:9" x14ac:dyDescent="0.2">
      <c r="A168" s="414" t="s">
        <v>866</v>
      </c>
      <c r="B168" s="414" t="s">
        <v>865</v>
      </c>
      <c r="C168" s="422">
        <f>IFERROR(VLOOKUP(A168,[1]Sheet1!$A:$C,3,FALSE),0)</f>
        <v>148599138</v>
      </c>
      <c r="E168" s="422">
        <f t="shared" si="8"/>
        <v>148599138</v>
      </c>
      <c r="F168" s="555" t="s">
        <v>1477</v>
      </c>
      <c r="G168" s="414" t="str">
        <f>IF(VLOOKUP(A168,'BASE BALANCE'!C:C,1,FALSE)&lt;&gt;0,"ok","falta")</f>
        <v>ok</v>
      </c>
    </row>
    <row r="169" spans="1:9" x14ac:dyDescent="0.2">
      <c r="A169" s="414" t="s">
        <v>867</v>
      </c>
      <c r="B169" s="414" t="s">
        <v>868</v>
      </c>
      <c r="C169" s="422">
        <f>IFERROR(VLOOKUP(A169,[1]Sheet1!$A:$C,3,FALSE),0)</f>
        <v>11772036080</v>
      </c>
      <c r="E169" s="422">
        <f t="shared" si="8"/>
        <v>11772036080</v>
      </c>
      <c r="F169" s="555">
        <v>9316965.9100000001</v>
      </c>
      <c r="G169" s="414" t="str">
        <f>IF(VLOOKUP(A169,'BASE BALANCE'!C:C,1,FALSE)&lt;&gt;0,"ok","falta")</f>
        <v>ok</v>
      </c>
    </row>
    <row r="170" spans="1:9" x14ac:dyDescent="0.2">
      <c r="A170" s="414" t="s">
        <v>869</v>
      </c>
      <c r="B170" s="414" t="s">
        <v>870</v>
      </c>
      <c r="C170" s="422">
        <f>IFERROR(VLOOKUP(A170,[1]Sheet1!$A:$C,3,FALSE),0)</f>
        <v>390257822</v>
      </c>
      <c r="E170" s="422">
        <f t="shared" ref="E170" si="10">+C170+D170</f>
        <v>390257822</v>
      </c>
      <c r="F170" s="555">
        <v>9316965.9100000001</v>
      </c>
      <c r="G170" s="414" t="str">
        <f>IF(VLOOKUP(A170,'BASE BALANCE'!C:C,1,FALSE)&lt;&gt;0,"ok","falta")</f>
        <v>ok</v>
      </c>
    </row>
    <row r="171" spans="1:9" x14ac:dyDescent="0.2">
      <c r="A171" s="414" t="s">
        <v>871</v>
      </c>
      <c r="B171" s="414" t="s">
        <v>319</v>
      </c>
      <c r="C171" s="422">
        <f>IFERROR(VLOOKUP(A171,[1]Sheet1!$A:$C,3,FALSE),0)</f>
        <v>0</v>
      </c>
      <c r="E171" s="422">
        <f t="shared" si="8"/>
        <v>0</v>
      </c>
      <c r="F171" s="555">
        <v>330000</v>
      </c>
      <c r="G171" s="414" t="str">
        <f>IF(VLOOKUP(A171,'BASE BALANCE'!C:C,1,FALSE)&lt;&gt;0,"ok","falta")</f>
        <v>ok</v>
      </c>
      <c r="H171" s="414"/>
      <c r="I171" s="414"/>
    </row>
    <row r="172" spans="1:9" x14ac:dyDescent="0.2">
      <c r="A172" s="414" t="s">
        <v>872</v>
      </c>
      <c r="B172" s="414" t="s">
        <v>515</v>
      </c>
      <c r="C172" s="422">
        <f>IFERROR(VLOOKUP(A172,[1]Sheet1!$A:$C,3,FALSE),0)</f>
        <v>14619983418</v>
      </c>
      <c r="E172" s="422">
        <f t="shared" si="8"/>
        <v>14619983418</v>
      </c>
      <c r="F172" s="555">
        <v>1159779.9099999999</v>
      </c>
      <c r="G172" s="414" t="str">
        <f>IF(VLOOKUP(A172,'BASE BALANCE'!C:C,1,FALSE)&lt;&gt;0,"ok","falta")</f>
        <v>ok</v>
      </c>
      <c r="H172" s="414"/>
      <c r="I172" s="414"/>
    </row>
    <row r="173" spans="1:9" x14ac:dyDescent="0.2">
      <c r="A173" s="414" t="s">
        <v>875</v>
      </c>
      <c r="B173" s="414" t="s">
        <v>876</v>
      </c>
      <c r="C173" s="551">
        <f>IFERROR(VLOOKUP(A173,[1]Sheet1!$A:$C,3,FALSE),0)</f>
        <v>12694300322</v>
      </c>
      <c r="D173" s="551">
        <v>2511787779</v>
      </c>
      <c r="E173" s="551">
        <f t="shared" si="8"/>
        <v>15206088101</v>
      </c>
      <c r="G173" s="414" t="str">
        <f>IF(VLOOKUP(A173,'BASE BALANCE'!C:C,1,FALSE)&lt;&gt;0,"ok","falta")</f>
        <v>ok</v>
      </c>
      <c r="H173" s="414"/>
      <c r="I173" s="414"/>
    </row>
    <row r="174" spans="1:9" x14ac:dyDescent="0.2">
      <c r="A174" s="414" t="s">
        <v>937</v>
      </c>
      <c r="B174" s="414" t="s">
        <v>1535</v>
      </c>
      <c r="C174" s="551">
        <f>IFERROR(VLOOKUP(A174,[1]Sheet1!$A:$C,3,FALSE),0)</f>
        <v>32751720000</v>
      </c>
      <c r="D174" s="551">
        <v>130545000</v>
      </c>
      <c r="E174" s="551">
        <f t="shared" ref="E174" si="11">+C174+D174</f>
        <v>32882265000</v>
      </c>
      <c r="G174" s="414" t="str">
        <f>IF(VLOOKUP(A174,'BASE BALANCE'!C:C,1,FALSE)&lt;&gt;0,"ok","falta")</f>
        <v>ok</v>
      </c>
      <c r="H174" s="414"/>
      <c r="I174" s="414"/>
    </row>
    <row r="175" spans="1:9" x14ac:dyDescent="0.2">
      <c r="A175" s="414" t="s">
        <v>877</v>
      </c>
      <c r="B175" s="414" t="s">
        <v>878</v>
      </c>
      <c r="C175" s="551">
        <f>IFERROR(VLOOKUP(A175,[1]Sheet1!$A:$C,3,FALSE),0)</f>
        <v>1371050081</v>
      </c>
      <c r="D175" s="551">
        <v>946576493</v>
      </c>
      <c r="E175" s="551">
        <f t="shared" si="8"/>
        <v>2317626574</v>
      </c>
      <c r="G175" s="414" t="str">
        <f>IF(VLOOKUP(A175,'BASE BALANCE'!C:C,1,FALSE)&lt;&gt;0,"ok","falta")</f>
        <v>ok</v>
      </c>
      <c r="H175" s="414"/>
      <c r="I175" s="414"/>
    </row>
    <row r="176" spans="1:9" x14ac:dyDescent="0.2">
      <c r="A176" s="414" t="s">
        <v>879</v>
      </c>
      <c r="B176" s="414" t="s">
        <v>880</v>
      </c>
      <c r="C176" s="551">
        <f>IFERROR(VLOOKUP(A176,[1]Sheet1!$A:$C,3,FALSE),0)</f>
        <v>864106970</v>
      </c>
      <c r="D176" s="551">
        <v>726403584.53290009</v>
      </c>
      <c r="E176" s="551">
        <f t="shared" si="8"/>
        <v>1590510554.5329001</v>
      </c>
      <c r="F176" s="555">
        <v>178089.03</v>
      </c>
      <c r="G176" s="414" t="str">
        <f>IF(VLOOKUP(A176,'BASE BALANCE'!C:C,1,FALSE)&lt;&gt;0,"ok","falta")</f>
        <v>ok</v>
      </c>
      <c r="H176" s="414"/>
      <c r="I176" s="414"/>
    </row>
    <row r="177" spans="1:9" x14ac:dyDescent="0.2">
      <c r="A177" s="414" t="s">
        <v>1481</v>
      </c>
      <c r="B177" s="414" t="s">
        <v>1482</v>
      </c>
      <c r="C177" s="551">
        <f>IFERROR(VLOOKUP(A177,[1]Sheet1!$A:$C,3,FALSE),0)</f>
        <v>0</v>
      </c>
      <c r="D177" s="551">
        <v>10820449900.30233</v>
      </c>
      <c r="E177" s="551">
        <f t="shared" si="8"/>
        <v>10820449900.30233</v>
      </c>
      <c r="G177" s="414" t="str">
        <f>IF(VLOOKUP(A177,'BASE BALANCE'!C:C,1,FALSE)&lt;&gt;0,"ok","falta")</f>
        <v>ok</v>
      </c>
      <c r="H177" s="414"/>
      <c r="I177" s="414"/>
    </row>
    <row r="178" spans="1:9" x14ac:dyDescent="0.2">
      <c r="A178" s="414" t="s">
        <v>882</v>
      </c>
      <c r="B178" s="414" t="s">
        <v>883</v>
      </c>
      <c r="C178" s="551">
        <f>IFERROR(VLOOKUP(A178,[1]Sheet1!$A:$C,3,FALSE),0)</f>
        <v>982635007</v>
      </c>
      <c r="D178" s="552">
        <f>-D186-D190</f>
        <v>-23263744</v>
      </c>
      <c r="E178" s="551">
        <f t="shared" si="8"/>
        <v>959371263</v>
      </c>
      <c r="G178" s="414" t="str">
        <f>IF(VLOOKUP(A178,'BASE BALANCE'!C:C,1,FALSE)&lt;&gt;0,"ok","falta")</f>
        <v>ok</v>
      </c>
      <c r="H178" s="414"/>
      <c r="I178" s="414"/>
    </row>
    <row r="179" spans="1:9" x14ac:dyDescent="0.2">
      <c r="A179" s="414" t="s">
        <v>884</v>
      </c>
      <c r="B179" s="414" t="s">
        <v>885</v>
      </c>
      <c r="C179" s="551">
        <f>IFERROR(VLOOKUP(A179,[1]Sheet1!$A:$C,3,FALSE),0)</f>
        <v>207874153</v>
      </c>
      <c r="D179" s="552">
        <f>-D187</f>
        <v>-12254044</v>
      </c>
      <c r="E179" s="551">
        <f t="shared" si="8"/>
        <v>195620109</v>
      </c>
      <c r="G179" s="414" t="str">
        <f>IF(VLOOKUP(A179,'BASE BALANCE'!C:C,1,FALSE)&lt;&gt;0,"ok","falta")</f>
        <v>ok</v>
      </c>
      <c r="H179" s="414"/>
      <c r="I179" s="414"/>
    </row>
    <row r="180" spans="1:9" x14ac:dyDescent="0.2">
      <c r="A180" s="414" t="s">
        <v>886</v>
      </c>
      <c r="B180" s="414" t="s">
        <v>887</v>
      </c>
      <c r="C180" s="551">
        <f>IFERROR(VLOOKUP(A180,[1]Sheet1!$A:$C,3,FALSE),0)</f>
        <v>139044732</v>
      </c>
      <c r="D180" s="552">
        <f>-D188</f>
        <v>-5166300</v>
      </c>
      <c r="E180" s="551">
        <f t="shared" si="8"/>
        <v>133878432</v>
      </c>
      <c r="G180" s="414" t="str">
        <f>IF(VLOOKUP(A180,'BASE BALANCE'!C:C,1,FALSE)&lt;&gt;0,"ok","falta")</f>
        <v>ok</v>
      </c>
      <c r="H180" s="414"/>
      <c r="I180" s="414"/>
    </row>
    <row r="181" spans="1:9" x14ac:dyDescent="0.2">
      <c r="A181" s="414" t="s">
        <v>888</v>
      </c>
      <c r="B181" s="414" t="s">
        <v>889</v>
      </c>
      <c r="C181" s="551">
        <f>IFERROR(VLOOKUP(A181,[1]Sheet1!$A:$C,3,FALSE),0)</f>
        <v>139414479</v>
      </c>
      <c r="D181" s="552">
        <f>-D189</f>
        <v>-9611023</v>
      </c>
      <c r="E181" s="551">
        <f t="shared" si="8"/>
        <v>129803456</v>
      </c>
      <c r="G181" s="414" t="str">
        <f>IF(VLOOKUP(A181,'BASE BALANCE'!C:C,1,FALSE)&lt;&gt;0,"ok","falta")</f>
        <v>ok</v>
      </c>
      <c r="H181" s="414"/>
      <c r="I181" s="414"/>
    </row>
    <row r="182" spans="1:9" x14ac:dyDescent="0.2">
      <c r="A182" s="414" t="s">
        <v>890</v>
      </c>
      <c r="B182" s="414" t="s">
        <v>891</v>
      </c>
      <c r="C182" s="551">
        <f>IFERROR(VLOOKUP(A182,[1]Sheet1!$A:$C,3,FALSE),0)</f>
        <v>317340130</v>
      </c>
      <c r="D182" s="551"/>
      <c r="E182" s="551">
        <f t="shared" si="8"/>
        <v>317340130</v>
      </c>
      <c r="G182" s="414" t="str">
        <f>IF(VLOOKUP(A182,'BASE BALANCE'!C:C,1,FALSE)&lt;&gt;0,"ok","falta")</f>
        <v>ok</v>
      </c>
      <c r="H182" s="414"/>
      <c r="I182" s="414"/>
    </row>
    <row r="183" spans="1:9" x14ac:dyDescent="0.2">
      <c r="A183" s="414" t="s">
        <v>892</v>
      </c>
      <c r="B183" s="414" t="s">
        <v>893</v>
      </c>
      <c r="C183" s="551">
        <f>IFERROR(VLOOKUP(A183,[1]Sheet1!$A:$C,3,FALSE),0)</f>
        <v>48962457</v>
      </c>
      <c r="D183" s="551"/>
      <c r="E183" s="551">
        <f t="shared" si="8"/>
        <v>48962457</v>
      </c>
      <c r="G183" s="414" t="str">
        <f>IF(VLOOKUP(A183,'BASE BALANCE'!C:C,1,FALSE)&lt;&gt;0,"ok","falta")</f>
        <v>ok</v>
      </c>
      <c r="H183" s="414"/>
      <c r="I183" s="414"/>
    </row>
    <row r="184" spans="1:9" x14ac:dyDescent="0.2">
      <c r="A184" s="414" t="s">
        <v>894</v>
      </c>
      <c r="B184" s="414" t="s">
        <v>895</v>
      </c>
      <c r="C184" s="551">
        <f>IFERROR(VLOOKUP(A184,[1]Sheet1!$A:$C,3,FALSE),0)</f>
        <v>33480175</v>
      </c>
      <c r="D184" s="551"/>
      <c r="E184" s="551">
        <f t="shared" si="8"/>
        <v>33480175</v>
      </c>
      <c r="G184" s="414" t="str">
        <f>IF(VLOOKUP(A184,'BASE BALANCE'!C:C,1,FALSE)&lt;&gt;0,"ok","falta")</f>
        <v>ok</v>
      </c>
      <c r="H184" s="414"/>
      <c r="I184" s="414"/>
    </row>
    <row r="185" spans="1:9" x14ac:dyDescent="0.2">
      <c r="A185" s="414" t="s">
        <v>896</v>
      </c>
      <c r="B185" s="414" t="s">
        <v>897</v>
      </c>
      <c r="C185" s="551">
        <f>IFERROR(VLOOKUP(A185,[1]Sheet1!$A:$C,3,FALSE),0)</f>
        <v>35745509</v>
      </c>
      <c r="D185" s="551"/>
      <c r="E185" s="551">
        <f t="shared" si="8"/>
        <v>35745509</v>
      </c>
      <c r="G185" s="414" t="str">
        <f>IF(VLOOKUP(A185,'BASE BALANCE'!C:C,1,FALSE)&lt;&gt;0,"ok","falta")</f>
        <v>ok</v>
      </c>
      <c r="H185" s="414"/>
      <c r="I185" s="414"/>
    </row>
    <row r="186" spans="1:9" x14ac:dyDescent="0.2">
      <c r="A186" s="414" t="s">
        <v>898</v>
      </c>
      <c r="B186" s="414" t="s">
        <v>899</v>
      </c>
      <c r="C186" s="551">
        <f>IFERROR(VLOOKUP(A186,[1]Sheet1!$A:$C,3,FALSE),0)</f>
        <v>-13904507</v>
      </c>
      <c r="D186" s="552">
        <f>-C186</f>
        <v>13904507</v>
      </c>
      <c r="E186" s="551">
        <f t="shared" si="8"/>
        <v>0</v>
      </c>
      <c r="G186" s="414" t="str">
        <f>IF(VLOOKUP(A186,'BASE BALANCE'!C:C,1,FALSE)&lt;&gt;0,"ok","falta")</f>
        <v>ok</v>
      </c>
      <c r="H186" s="414"/>
      <c r="I186" s="414"/>
    </row>
    <row r="187" spans="1:9" x14ac:dyDescent="0.2">
      <c r="A187" s="414" t="s">
        <v>900</v>
      </c>
      <c r="B187" s="414" t="s">
        <v>901</v>
      </c>
      <c r="C187" s="551">
        <f>IFERROR(VLOOKUP(A187,[1]Sheet1!$A:$C,3,FALSE),0)</f>
        <v>-12254044</v>
      </c>
      <c r="D187" s="552">
        <f>-C187</f>
        <v>12254044</v>
      </c>
      <c r="E187" s="551">
        <f t="shared" si="8"/>
        <v>0</v>
      </c>
      <c r="G187" s="414" t="str">
        <f>IF(VLOOKUP(A187,'BASE BALANCE'!C:C,1,FALSE)&lt;&gt;0,"ok","falta")</f>
        <v>ok</v>
      </c>
      <c r="H187" s="414"/>
      <c r="I187" s="414"/>
    </row>
    <row r="188" spans="1:9" x14ac:dyDescent="0.2">
      <c r="A188" s="414" t="s">
        <v>902</v>
      </c>
      <c r="B188" s="414" t="s">
        <v>903</v>
      </c>
      <c r="C188" s="551">
        <f>IFERROR(VLOOKUP(A188,[1]Sheet1!$A:$C,3,FALSE),0)</f>
        <v>-5166300</v>
      </c>
      <c r="D188" s="552">
        <f t="shared" ref="D188:D190" si="12">-C188</f>
        <v>5166300</v>
      </c>
      <c r="E188" s="551">
        <f t="shared" si="8"/>
        <v>0</v>
      </c>
      <c r="G188" s="414" t="str">
        <f>IF(VLOOKUP(A188,'BASE BALANCE'!C:C,1,FALSE)&lt;&gt;0,"ok","falta")</f>
        <v>ok</v>
      </c>
      <c r="H188" s="414"/>
      <c r="I188" s="414"/>
    </row>
    <row r="189" spans="1:9" x14ac:dyDescent="0.2">
      <c r="A189" s="414" t="s">
        <v>904</v>
      </c>
      <c r="B189" s="414" t="s">
        <v>905</v>
      </c>
      <c r="C189" s="551">
        <f>IFERROR(VLOOKUP(A189,[1]Sheet1!$A:$C,3,FALSE),0)</f>
        <v>-9611023</v>
      </c>
      <c r="D189" s="552">
        <f t="shared" si="12"/>
        <v>9611023</v>
      </c>
      <c r="E189" s="551">
        <f t="shared" si="8"/>
        <v>0</v>
      </c>
      <c r="G189" s="414" t="str">
        <f>IF(VLOOKUP(A189,'BASE BALANCE'!C:C,1,FALSE)&lt;&gt;0,"ok","falta")</f>
        <v>ok</v>
      </c>
      <c r="H189" s="414"/>
      <c r="I189" s="414"/>
    </row>
    <row r="190" spans="1:9" x14ac:dyDescent="0.2">
      <c r="A190" s="414" t="s">
        <v>1521</v>
      </c>
      <c r="B190" s="414" t="s">
        <v>1530</v>
      </c>
      <c r="C190" s="551">
        <f>IFERROR(VLOOKUP(A190,[1]Sheet1!$A:$C,3,FALSE),0)</f>
        <v>-9359237</v>
      </c>
      <c r="D190" s="552">
        <f t="shared" si="12"/>
        <v>9359237</v>
      </c>
      <c r="E190" s="552">
        <f t="shared" si="8"/>
        <v>0</v>
      </c>
      <c r="F190" s="553"/>
      <c r="G190" s="554" t="e">
        <f>IF(VLOOKUP(A190,'BASE BALANCE'!C:C,1,FALSE)&lt;&gt;0,"ok","falta")</f>
        <v>#N/A</v>
      </c>
      <c r="H190" s="414"/>
      <c r="I190" s="414"/>
    </row>
    <row r="191" spans="1:9" x14ac:dyDescent="0.2">
      <c r="A191" s="414" t="s">
        <v>906</v>
      </c>
      <c r="B191" s="414" t="s">
        <v>907</v>
      </c>
      <c r="C191" s="551">
        <f>IFERROR(VLOOKUP(A191,[1]Sheet1!$A:$C,3,FALSE),0)</f>
        <v>-44472563</v>
      </c>
      <c r="D191" s="551">
        <v>0</v>
      </c>
      <c r="E191" s="551">
        <f t="shared" si="8"/>
        <v>-44472563</v>
      </c>
      <c r="G191" s="414" t="str">
        <f>IF(VLOOKUP(A191,'BASE BALANCE'!C:C,1,FALSE)&lt;&gt;0,"ok","falta")</f>
        <v>ok</v>
      </c>
      <c r="H191" s="414"/>
      <c r="I191" s="414"/>
    </row>
    <row r="192" spans="1:9" x14ac:dyDescent="0.2">
      <c r="A192" s="414" t="s">
        <v>908</v>
      </c>
      <c r="B192" s="414" t="s">
        <v>909</v>
      </c>
      <c r="C192" s="551">
        <f>IFERROR(VLOOKUP(A192,[1]Sheet1!$A:$C,3,FALSE),0)</f>
        <v>1170790905</v>
      </c>
      <c r="D192" s="551"/>
      <c r="E192" s="551">
        <f t="shared" si="8"/>
        <v>1170790905</v>
      </c>
      <c r="G192" s="414" t="str">
        <f>IF(VLOOKUP(A192,'BASE BALANCE'!C:C,1,FALSE)&lt;&gt;0,"ok","falta")</f>
        <v>ok</v>
      </c>
      <c r="H192" s="414"/>
      <c r="I192" s="414"/>
    </row>
    <row r="193" spans="1:9" x14ac:dyDescent="0.2">
      <c r="A193" s="414" t="s">
        <v>910</v>
      </c>
      <c r="B193" s="414" t="s">
        <v>911</v>
      </c>
      <c r="C193" s="551">
        <f>IFERROR(VLOOKUP(A193,[1]Sheet1!$A:$C,3,FALSE),0)</f>
        <v>160447131</v>
      </c>
      <c r="D193" s="551"/>
      <c r="E193" s="551">
        <f t="shared" si="8"/>
        <v>160447131</v>
      </c>
      <c r="G193" s="414" t="str">
        <f>IF(VLOOKUP(A193,'BASE BALANCE'!C:C,1,FALSE)&lt;&gt;0,"ok","falta")</f>
        <v>ok</v>
      </c>
      <c r="H193" s="414"/>
      <c r="I193" s="414"/>
    </row>
    <row r="194" spans="1:9" x14ac:dyDescent="0.2">
      <c r="A194" s="414" t="s">
        <v>912</v>
      </c>
      <c r="B194" s="414" t="s">
        <v>913</v>
      </c>
      <c r="C194" s="551">
        <f>IFERROR(VLOOKUP(A194,[1]Sheet1!$A:$C,3,FALSE),0)</f>
        <v>54787055</v>
      </c>
      <c r="D194" s="551"/>
      <c r="E194" s="551">
        <f t="shared" si="8"/>
        <v>54787055</v>
      </c>
      <c r="G194" s="414" t="str">
        <f>IF(VLOOKUP(A194,'BASE BALANCE'!C:C,1,FALSE)&lt;&gt;0,"ok","falta")</f>
        <v>ok</v>
      </c>
      <c r="H194" s="414"/>
      <c r="I194" s="414"/>
    </row>
    <row r="195" spans="1:9" x14ac:dyDescent="0.2">
      <c r="A195" s="414" t="s">
        <v>915</v>
      </c>
      <c r="B195" s="414" t="s">
        <v>914</v>
      </c>
      <c r="C195" s="551">
        <f>IFERROR(VLOOKUP(A195,[1]Sheet1!$A:$C,3,FALSE),0)</f>
        <v>45666528</v>
      </c>
      <c r="D195" s="551"/>
      <c r="E195" s="551">
        <f t="shared" si="8"/>
        <v>45666528</v>
      </c>
      <c r="G195" s="414" t="str">
        <f>IF(VLOOKUP(A195,'BASE BALANCE'!C:C,1,FALSE)&lt;&gt;0,"ok","falta")</f>
        <v>ok</v>
      </c>
      <c r="H195" s="414"/>
      <c r="I195" s="414"/>
    </row>
    <row r="196" spans="1:9" x14ac:dyDescent="0.2">
      <c r="A196" s="414" t="s">
        <v>916</v>
      </c>
      <c r="B196" s="414" t="s">
        <v>917</v>
      </c>
      <c r="C196" s="551">
        <f>IFERROR(VLOOKUP(A196,[1]Sheet1!$A:$C,3,FALSE),0)</f>
        <v>321698174.59997559</v>
      </c>
      <c r="D196" s="551">
        <v>0</v>
      </c>
      <c r="E196" s="551">
        <f t="shared" si="8"/>
        <v>321698174.59997559</v>
      </c>
      <c r="G196" s="414" t="str">
        <f>IF(VLOOKUP(A196,'BASE BALANCE'!C:C,1,FALSE)&lt;&gt;0,"ok","falta")</f>
        <v>ok</v>
      </c>
    </row>
    <row r="197" spans="1:9" x14ac:dyDescent="0.2">
      <c r="A197" s="414" t="s">
        <v>918</v>
      </c>
      <c r="B197" s="414" t="s">
        <v>919</v>
      </c>
      <c r="C197" s="551">
        <f>IFERROR(VLOOKUP(A197,[1]Sheet1!$A:$C,3,FALSE),0)</f>
        <v>3935036</v>
      </c>
      <c r="D197" s="551">
        <f>-C197</f>
        <v>-3935036</v>
      </c>
      <c r="E197" s="551">
        <f t="shared" si="8"/>
        <v>0</v>
      </c>
      <c r="F197" s="555">
        <v>3597855.07</v>
      </c>
      <c r="G197" s="414" t="str">
        <f>IF(VLOOKUP(A197,'BASE BALANCE'!C:C,1,FALSE)&lt;&gt;0,"ok","falta")</f>
        <v>ok</v>
      </c>
    </row>
    <row r="198" spans="1:9" x14ac:dyDescent="0.2">
      <c r="A198" s="414" t="s">
        <v>921</v>
      </c>
      <c r="B198" s="414" t="s">
        <v>922</v>
      </c>
      <c r="C198" s="551">
        <f>IFERROR(VLOOKUP(A198,[1]Sheet1!$A:$C,3,FALSE),0)</f>
        <v>132157953</v>
      </c>
      <c r="D198" s="551"/>
      <c r="E198" s="551">
        <f t="shared" si="8"/>
        <v>132157953</v>
      </c>
      <c r="F198" s="555">
        <v>129827.54</v>
      </c>
      <c r="G198" s="414" t="str">
        <f>IF(VLOOKUP(A198,'BASE BALANCE'!C:C,1,FALSE)&lt;&gt;0,"ok","falta")</f>
        <v>ok</v>
      </c>
      <c r="H198" s="414"/>
      <c r="I198" s="414"/>
    </row>
    <row r="199" spans="1:9" x14ac:dyDescent="0.2">
      <c r="A199" s="414" t="s">
        <v>923</v>
      </c>
      <c r="B199" s="414" t="s">
        <v>924</v>
      </c>
      <c r="C199" s="551">
        <f>IFERROR(VLOOKUP(A199,[1]Sheet1!$A:$C,3,FALSE),0)</f>
        <v>10273618</v>
      </c>
      <c r="D199" s="551"/>
      <c r="E199" s="551">
        <f t="shared" si="8"/>
        <v>10273618</v>
      </c>
      <c r="G199" s="414" t="str">
        <f>IF(VLOOKUP(A199,'BASE BALANCE'!C:C,1,FALSE)&lt;&gt;0,"ok","falta")</f>
        <v>ok</v>
      </c>
      <c r="H199" s="414"/>
      <c r="I199" s="414"/>
    </row>
    <row r="200" spans="1:9" x14ac:dyDescent="0.2">
      <c r="A200" s="414" t="s">
        <v>925</v>
      </c>
      <c r="B200" s="414" t="s">
        <v>315</v>
      </c>
      <c r="C200" s="551">
        <f>IFERROR(VLOOKUP(A200,[1]Sheet1!$A:$C,3,FALSE),0)</f>
        <v>558670135</v>
      </c>
      <c r="D200" s="551">
        <f>-D219</f>
        <v>-88678470</v>
      </c>
      <c r="E200" s="551">
        <f t="shared" ref="E200" si="13">+C200+D200</f>
        <v>469991665</v>
      </c>
      <c r="G200" s="414" t="str">
        <f>IF(VLOOKUP(A200,'BASE BALANCE'!C:C,1,FALSE)&lt;&gt;0,"ok","falta")</f>
        <v>ok</v>
      </c>
    </row>
    <row r="201" spans="1:9" x14ac:dyDescent="0.2">
      <c r="A201" s="414" t="s">
        <v>926</v>
      </c>
      <c r="B201" s="414" t="s">
        <v>313</v>
      </c>
      <c r="C201" s="551">
        <f>IFERROR(VLOOKUP(A201,[1]Sheet1!$A:$C,3,FALSE),0)</f>
        <v>902976266</v>
      </c>
      <c r="D201" s="551"/>
      <c r="E201" s="551">
        <f t="shared" si="8"/>
        <v>902976266</v>
      </c>
      <c r="G201" s="414" t="str">
        <f>IF(VLOOKUP(A201,'BASE BALANCE'!C:C,1,FALSE)&lt;&gt;0,"ok","falta")</f>
        <v>ok</v>
      </c>
      <c r="H201" s="414"/>
      <c r="I201" s="414"/>
    </row>
    <row r="202" spans="1:9" x14ac:dyDescent="0.2">
      <c r="A202" s="414" t="s">
        <v>927</v>
      </c>
      <c r="B202" s="414" t="s">
        <v>928</v>
      </c>
      <c r="C202" s="551">
        <f>IFERROR(VLOOKUP(A202,[1]Sheet1!$A:$C,3,FALSE),0)</f>
        <v>523814796</v>
      </c>
      <c r="D202" s="551"/>
      <c r="E202" s="551">
        <f t="shared" si="8"/>
        <v>523814796</v>
      </c>
      <c r="F202" s="555">
        <v>-438006.93</v>
      </c>
      <c r="G202" s="414" t="str">
        <f>IF(VLOOKUP(A202,'BASE BALANCE'!C:C,1,FALSE)&lt;&gt;0,"ok","falta")</f>
        <v>ok</v>
      </c>
      <c r="H202" s="414"/>
      <c r="I202" s="414"/>
    </row>
    <row r="203" spans="1:9" x14ac:dyDescent="0.2">
      <c r="A203" s="414" t="s">
        <v>929</v>
      </c>
      <c r="B203" s="414" t="s">
        <v>930</v>
      </c>
      <c r="C203" s="551">
        <f>IFERROR(VLOOKUP(A203,[1]Sheet1!$A:$C,3,FALSE),0)</f>
        <v>14608274</v>
      </c>
      <c r="D203" s="551">
        <f>+D218</f>
        <v>-172663</v>
      </c>
      <c r="E203" s="551">
        <f t="shared" si="8"/>
        <v>14435611</v>
      </c>
      <c r="F203" s="555">
        <v>-273501.15999999997</v>
      </c>
      <c r="G203" s="414" t="str">
        <f>IF(VLOOKUP(A203,'BASE BALANCE'!C:C,1,FALSE)&lt;&gt;0,"ok","falta")</f>
        <v>ok</v>
      </c>
      <c r="H203" s="414"/>
      <c r="I203" s="414"/>
    </row>
    <row r="204" spans="1:9" x14ac:dyDescent="0.2">
      <c r="A204" s="414" t="s">
        <v>934</v>
      </c>
      <c r="B204" s="414" t="s">
        <v>933</v>
      </c>
      <c r="C204" s="551">
        <f>IFERROR(VLOOKUP(A204,[1]Sheet1!$A:$C,3,FALSE),0)</f>
        <v>52127976</v>
      </c>
      <c r="D204" s="551"/>
      <c r="E204" s="551">
        <f t="shared" si="8"/>
        <v>52127976</v>
      </c>
      <c r="G204" s="414" t="str">
        <f>IF(VLOOKUP(A204,'BASE BALANCE'!C:C,1,FALSE)&lt;&gt;0,"ok","falta")</f>
        <v>ok</v>
      </c>
      <c r="H204" s="414"/>
      <c r="I204" s="414"/>
    </row>
    <row r="205" spans="1:9" x14ac:dyDescent="0.2">
      <c r="A205" s="414" t="s">
        <v>935</v>
      </c>
      <c r="B205" s="414" t="s">
        <v>936</v>
      </c>
      <c r="C205" s="551">
        <f>IFERROR(VLOOKUP(A205,[1]Sheet1!$A:$C,3,FALSE),0)</f>
        <v>29993400000</v>
      </c>
      <c r="D205" s="551">
        <v>-2505187779</v>
      </c>
      <c r="E205" s="551">
        <f t="shared" si="8"/>
        <v>27488212221</v>
      </c>
      <c r="G205" s="414" t="str">
        <f>IF(VLOOKUP(A205,'BASE BALANCE'!C:C,1,FALSE)&lt;&gt;0,"ok","falta")</f>
        <v>ok</v>
      </c>
      <c r="H205" s="414"/>
      <c r="I205" s="414"/>
    </row>
    <row r="206" spans="1:9" x14ac:dyDescent="0.2">
      <c r="B206" s="414" t="s">
        <v>938</v>
      </c>
      <c r="C206" s="551">
        <f>IFERROR(VLOOKUP(A206,[1]Sheet1!$A:$C,3,FALSE),0)</f>
        <v>0</v>
      </c>
      <c r="D206" s="551"/>
      <c r="E206" s="552">
        <f t="shared" si="8"/>
        <v>0</v>
      </c>
      <c r="F206" s="553">
        <v>0</v>
      </c>
      <c r="G206" s="554" t="e">
        <f>IF(VLOOKUP(A206,'BASE BALANCE'!C:C,1,FALSE)&lt;&gt;0,"ok","falta")</f>
        <v>#N/A</v>
      </c>
      <c r="H206" s="414"/>
      <c r="I206" s="414"/>
    </row>
    <row r="207" spans="1:9" x14ac:dyDescent="0.2">
      <c r="A207" s="414" t="s">
        <v>939</v>
      </c>
      <c r="B207" s="414" t="s">
        <v>940</v>
      </c>
      <c r="C207" s="551">
        <f>IFERROR(VLOOKUP(A207,[1]Sheet1!$A:$C,3,FALSE),0)</f>
        <v>3286296285</v>
      </c>
      <c r="D207" s="551">
        <v>-1593217043</v>
      </c>
      <c r="E207" s="557">
        <f t="shared" si="8"/>
        <v>1693079242</v>
      </c>
      <c r="G207" s="414" t="str">
        <f>IF(VLOOKUP(A207,'BASE BALANCE'!C:C,1,FALSE)&lt;&gt;0,"ok","falta")</f>
        <v>ok</v>
      </c>
      <c r="H207" s="414"/>
      <c r="I207" s="414"/>
    </row>
    <row r="208" spans="1:9" x14ac:dyDescent="0.2">
      <c r="A208" s="414" t="s">
        <v>941</v>
      </c>
      <c r="B208" s="414" t="s">
        <v>942</v>
      </c>
      <c r="C208" s="551">
        <f>IFERROR(VLOOKUP(A208,[1]Sheet1!$A:$C,3,FALSE),0)</f>
        <v>1152142626</v>
      </c>
      <c r="D208" s="551">
        <f>-C208</f>
        <v>-1152142626</v>
      </c>
      <c r="E208" s="557">
        <f t="shared" si="8"/>
        <v>0</v>
      </c>
      <c r="F208" s="555">
        <v>158301.35999999999</v>
      </c>
      <c r="G208" s="414" t="str">
        <f>IF(VLOOKUP(A208,'BASE BALANCE'!C:C,1,FALSE)&lt;&gt;0,"ok","falta")</f>
        <v>ok</v>
      </c>
    </row>
    <row r="209" spans="1:7" x14ac:dyDescent="0.2">
      <c r="A209" s="414" t="s">
        <v>945</v>
      </c>
      <c r="B209" s="414" t="s">
        <v>946</v>
      </c>
      <c r="C209" s="551">
        <f>IFERROR(VLOOKUP(A209,[1]Sheet1!$A:$C,3,FALSE),0)</f>
        <v>56000000000</v>
      </c>
      <c r="D209" s="551"/>
      <c r="E209" s="551">
        <f t="shared" si="8"/>
        <v>56000000000</v>
      </c>
      <c r="G209" s="414" t="str">
        <f>IF(VLOOKUP(A209,'BASE BALANCE'!C:C,1,FALSE)&lt;&gt;0,"ok","falta")</f>
        <v>ok</v>
      </c>
    </row>
    <row r="210" spans="1:7" x14ac:dyDescent="0.2">
      <c r="A210" s="414" t="s">
        <v>943</v>
      </c>
      <c r="B210" s="414" t="s">
        <v>944</v>
      </c>
      <c r="C210" s="551">
        <f>IFERROR(VLOOKUP(A210,[1]Sheet1!$A:$C,3,FALSE),0)</f>
        <v>65283172945</v>
      </c>
      <c r="D210" s="551">
        <v>481357056</v>
      </c>
      <c r="E210" s="551">
        <f t="shared" si="8"/>
        <v>65764530001</v>
      </c>
      <c r="F210" s="555">
        <v>3224135.86</v>
      </c>
      <c r="G210" s="414" t="str">
        <f>IF(VLOOKUP(A210,'BASE BALANCE'!C:C,1,FALSE)&lt;&gt;0,"ok","falta")</f>
        <v>ok</v>
      </c>
    </row>
    <row r="211" spans="1:7" x14ac:dyDescent="0.2">
      <c r="A211" s="414" t="s">
        <v>1483</v>
      </c>
      <c r="B211" s="414" t="s">
        <v>1484</v>
      </c>
      <c r="C211" s="551">
        <f>IFERROR(VLOOKUP(A211,[1]Sheet1!$A:$C,3,FALSE),0)</f>
        <v>0</v>
      </c>
      <c r="D211" s="551">
        <v>8938328767</v>
      </c>
      <c r="E211" s="557">
        <f t="shared" si="8"/>
        <v>8938328767</v>
      </c>
      <c r="G211" s="414" t="str">
        <f>IF(VLOOKUP(A211,'BASE BALANCE'!C:C,1,FALSE)&lt;&gt;0,"ok","falta")</f>
        <v>ok</v>
      </c>
    </row>
    <row r="212" spans="1:7" x14ac:dyDescent="0.2">
      <c r="A212" s="414" t="s">
        <v>1503</v>
      </c>
      <c r="B212" s="414" t="s">
        <v>1504</v>
      </c>
      <c r="C212" s="551">
        <f>IFERROR(VLOOKUP(A212,[1]Sheet1!$A:$C,3,FALSE),0)</f>
        <v>0</v>
      </c>
      <c r="D212" s="551">
        <v>9106236187.1647682</v>
      </c>
      <c r="E212" s="551">
        <f t="shared" si="8"/>
        <v>9106236187.1647682</v>
      </c>
      <c r="G212" s="414" t="str">
        <f>IF(VLOOKUP(A212,'BASE BALANCE'!C:C,1,FALSE)&lt;&gt;0,"ok","falta")</f>
        <v>ok</v>
      </c>
    </row>
    <row r="213" spans="1:7" x14ac:dyDescent="0.2">
      <c r="A213" s="414" t="s">
        <v>947</v>
      </c>
      <c r="B213" s="414" t="s">
        <v>948</v>
      </c>
      <c r="C213" s="551">
        <f>IFERROR(VLOOKUP(A213,[1]Sheet1!$A:$C,3,FALSE),0)</f>
        <v>200000000000</v>
      </c>
      <c r="D213" s="551"/>
      <c r="E213" s="551">
        <f t="shared" si="8"/>
        <v>200000000000</v>
      </c>
      <c r="G213" s="414" t="str">
        <f>IF(VLOOKUP(A213,'BASE BALANCE'!C:C,1,FALSE)&lt;&gt;0,"ok","falta")</f>
        <v>ok</v>
      </c>
    </row>
    <row r="214" spans="1:7" x14ac:dyDescent="0.2">
      <c r="A214" s="414" t="s">
        <v>949</v>
      </c>
      <c r="B214" s="414" t="s">
        <v>950</v>
      </c>
      <c r="C214" s="422">
        <f>IFERROR(VLOOKUP(A214,[1]Sheet1!$A:$C,3,FALSE),0)</f>
        <v>-7826983776</v>
      </c>
      <c r="D214" s="422">
        <v>0</v>
      </c>
      <c r="E214" s="422">
        <f t="shared" si="8"/>
        <v>-7826983776</v>
      </c>
      <c r="G214" s="414" t="str">
        <f>IF(VLOOKUP(A214,'BASE BALANCE'!C:C,1,FALSE)&lt;&gt;0,"ok","falta")</f>
        <v>ok</v>
      </c>
    </row>
    <row r="215" spans="1:7" x14ac:dyDescent="0.2">
      <c r="A215" s="414" t="s">
        <v>951</v>
      </c>
      <c r="B215" s="414" t="s">
        <v>437</v>
      </c>
      <c r="C215" s="422">
        <f>IFERROR(VLOOKUP(A215,[1]Sheet1!$A:$C,3,FALSE),0)</f>
        <v>2720132014</v>
      </c>
      <c r="E215" s="422">
        <f t="shared" si="8"/>
        <v>2720132014</v>
      </c>
      <c r="G215" s="414" t="str">
        <f>IF(VLOOKUP(A215,'BASE BALANCE'!C:C,1,FALSE)&lt;&gt;0,"ok","falta")</f>
        <v>ok</v>
      </c>
    </row>
    <row r="216" spans="1:7" x14ac:dyDescent="0.2">
      <c r="A216" s="414" t="s">
        <v>952</v>
      </c>
      <c r="B216" s="414" t="s">
        <v>953</v>
      </c>
      <c r="C216" s="422">
        <f>IFERROR(VLOOKUP(A216,[1]Sheet1!$A:$C,3,FALSE),0)</f>
        <v>0</v>
      </c>
      <c r="E216" s="422">
        <f t="shared" ref="E216:E221" si="14">+C216+D216</f>
        <v>0</v>
      </c>
      <c r="G216" s="414" t="str">
        <f>IF(VLOOKUP(A216,'BASE BALANCE'!C:C,1,FALSE)&lt;&gt;0,"ok","falta")</f>
        <v>ok</v>
      </c>
    </row>
    <row r="217" spans="1:7" x14ac:dyDescent="0.2">
      <c r="A217" s="414" t="s">
        <v>955</v>
      </c>
      <c r="B217" s="414" t="s">
        <v>956</v>
      </c>
      <c r="C217" s="422">
        <f>IFERROR(VLOOKUP(A217,[1]Sheet1!$A:$C,3,FALSE),0)</f>
        <v>11423641075</v>
      </c>
      <c r="E217" s="422">
        <f>+C217+D217</f>
        <v>11423641075</v>
      </c>
      <c r="F217" s="555" t="s">
        <v>1477</v>
      </c>
      <c r="G217" s="414" t="str">
        <f>IF(VLOOKUP(A217,'BASE BALANCE'!C:C,1,FALSE)&lt;&gt;0,"ok","falta")</f>
        <v>ok</v>
      </c>
    </row>
    <row r="218" spans="1:7" x14ac:dyDescent="0.2">
      <c r="A218" s="414" t="s">
        <v>1522</v>
      </c>
      <c r="B218" s="414" t="s">
        <v>1531</v>
      </c>
      <c r="C218" s="422">
        <f>IFERROR(VLOOKUP(A218,[1]Sheet1!$A:$C,3,FALSE),0)</f>
        <v>172663</v>
      </c>
      <c r="D218" s="422">
        <f>-C218</f>
        <v>-172663</v>
      </c>
      <c r="E218" s="552">
        <f t="shared" si="14"/>
        <v>0</v>
      </c>
      <c r="F218" s="553"/>
      <c r="G218" s="554" t="e">
        <f>IF(VLOOKUP(A218,'BASE BALANCE'!C:C,1,FALSE)&lt;&gt;0,"ok","falta")</f>
        <v>#N/A</v>
      </c>
    </row>
    <row r="219" spans="1:7" x14ac:dyDescent="0.2">
      <c r="A219" s="414" t="s">
        <v>1523</v>
      </c>
      <c r="B219" s="414" t="s">
        <v>1532</v>
      </c>
      <c r="C219" s="422">
        <f>IFERROR(VLOOKUP(A219,[1]Sheet1!$A:$C,3,FALSE),0)</f>
        <v>-88678470</v>
      </c>
      <c r="D219" s="422">
        <f>-C219</f>
        <v>88678470</v>
      </c>
      <c r="E219" s="552">
        <f t="shared" si="14"/>
        <v>0</v>
      </c>
      <c r="F219" s="553"/>
      <c r="G219" s="554" t="e">
        <f>IF(VLOOKUP(A219,'BASE BALANCE'!C:C,1,FALSE)&lt;&gt;0,"ok","falta")</f>
        <v>#N/A</v>
      </c>
    </row>
    <row r="220" spans="1:7" x14ac:dyDescent="0.2">
      <c r="A220" s="414" t="s">
        <v>957</v>
      </c>
      <c r="B220" s="414" t="s">
        <v>958</v>
      </c>
      <c r="C220" s="422">
        <f>IFERROR(VLOOKUP(A220,[1]Sheet1!$A:$C,3,FALSE),0)</f>
        <v>23482533132</v>
      </c>
      <c r="E220" s="422">
        <f t="shared" si="14"/>
        <v>23482533132</v>
      </c>
      <c r="F220" s="555" t="s">
        <v>1477</v>
      </c>
      <c r="G220" s="414" t="str">
        <f>IF(VLOOKUP(A220,'BASE BALANCE'!C:C,1,FALSE)&lt;&gt;0,"ok","falta")</f>
        <v>ok</v>
      </c>
    </row>
    <row r="221" spans="1:7" x14ac:dyDescent="0.2">
      <c r="A221" s="414" t="s">
        <v>959</v>
      </c>
      <c r="C221" s="422">
        <f>IFERROR(VLOOKUP(A221,[1]Sheet1!$A:$C,3,FALSE),0)</f>
        <v>3122197277.4000001</v>
      </c>
      <c r="E221" s="422">
        <f t="shared" si="14"/>
        <v>3122197277.4000001</v>
      </c>
    </row>
    <row r="223" spans="1:7" x14ac:dyDescent="0.2">
      <c r="C223" s="556">
        <f>SUM(C2:C152)</f>
        <v>502617043121</v>
      </c>
      <c r="D223" s="556">
        <f>SUM(D2:D152)</f>
        <v>0</v>
      </c>
      <c r="E223" s="556">
        <f>SUM(E2:E151)-E89</f>
        <v>467627055603</v>
      </c>
      <c r="F223" s="555">
        <f>+C223-E223</f>
        <v>34989987518</v>
      </c>
    </row>
    <row r="224" spans="1:7" x14ac:dyDescent="0.2">
      <c r="C224" s="422">
        <f>SUM(C153:C221)</f>
        <v>502617043120</v>
      </c>
      <c r="D224" s="422">
        <f>SUM(D153:D220)</f>
        <v>1</v>
      </c>
      <c r="E224" s="422">
        <f>SUM(E152:E221)+E89</f>
        <v>467627055603</v>
      </c>
      <c r="F224" s="555">
        <f>+C224-E224</f>
        <v>34989987517</v>
      </c>
    </row>
    <row r="225" spans="3:6" x14ac:dyDescent="0.2">
      <c r="C225" s="422">
        <f>+C223-C224</f>
        <v>1</v>
      </c>
      <c r="D225" s="422">
        <f>+D223-D224</f>
        <v>-1</v>
      </c>
      <c r="E225" s="422">
        <f>+E223-E224</f>
        <v>0</v>
      </c>
    </row>
    <row r="227" spans="3:6" x14ac:dyDescent="0.2">
      <c r="F227" s="551">
        <f>+E225/2</f>
        <v>0</v>
      </c>
    </row>
    <row r="229" spans="3:6" x14ac:dyDescent="0.2">
      <c r="C229" s="422">
        <f>SUM(C2:C221)</f>
        <v>1005234086241</v>
      </c>
    </row>
    <row r="230" spans="3:6" x14ac:dyDescent="0.2">
      <c r="C230" s="422">
        <v>1005234086241</v>
      </c>
    </row>
    <row r="231" spans="3:6" x14ac:dyDescent="0.2">
      <c r="C231" s="422">
        <f>+C229-C230</f>
        <v>0</v>
      </c>
    </row>
  </sheetData>
  <autoFilter ref="A1:E221" xr:uid="{178AA48A-CE7C-4F47-9EC0-BABFB2C99609}"/>
  <conditionalFormatting sqref="A1:A1048576">
    <cfRule type="duplicateValues" dxfId="1" priority="2"/>
  </conditionalFormatting>
  <conditionalFormatting sqref="H1:H195 A1:A1048576 H197:H1048576">
    <cfRule type="duplicateValues" dxfId="0" priority="1"/>
  </conditionalFormatting>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41540E-3E82-1D4C-BF0C-4D7CD1E035E0}">
  <sheetPr>
    <tabColor rgb="FF002060"/>
  </sheetPr>
  <dimension ref="A1:F22"/>
  <sheetViews>
    <sheetView showGridLines="0" zoomScale="110" zoomScaleNormal="110" workbookViewId="0">
      <selection activeCell="F1" sqref="F1"/>
    </sheetView>
  </sheetViews>
  <sheetFormatPr baseColWidth="10" defaultColWidth="11.5" defaultRowHeight="14.4" x14ac:dyDescent="0.3"/>
  <cols>
    <col min="1" max="1" width="48" style="129" bestFit="1" customWidth="1"/>
    <col min="2" max="2" width="13.8984375" style="129" customWidth="1"/>
    <col min="3" max="3" width="2.59765625" style="129" customWidth="1"/>
    <col min="4" max="4" width="13.8984375" style="129" customWidth="1"/>
    <col min="5" max="16384" width="11.5" style="129"/>
  </cols>
  <sheetData>
    <row r="1" spans="1:6" ht="17.399999999999999" x14ac:dyDescent="0.3">
      <c r="A1" s="611" t="s">
        <v>235</v>
      </c>
      <c r="B1" s="611"/>
      <c r="C1" s="611"/>
      <c r="D1" s="611"/>
      <c r="E1" s="127" t="s">
        <v>118</v>
      </c>
      <c r="F1" s="128" t="s">
        <v>62</v>
      </c>
    </row>
    <row r="2" spans="1:6" x14ac:dyDescent="0.3">
      <c r="A2" s="130"/>
      <c r="B2" s="130"/>
      <c r="C2" s="130"/>
      <c r="D2" s="130"/>
    </row>
    <row r="3" spans="1:6" x14ac:dyDescent="0.3">
      <c r="A3" s="131" t="s">
        <v>236</v>
      </c>
      <c r="B3" s="132" t="s">
        <v>1534</v>
      </c>
      <c r="C3" s="133"/>
      <c r="D3" s="132" t="s">
        <v>520</v>
      </c>
      <c r="E3" s="134"/>
    </row>
    <row r="4" spans="1:6" x14ac:dyDescent="0.3">
      <c r="A4" s="135" t="s">
        <v>237</v>
      </c>
      <c r="B4" s="405">
        <f>SUMIF('BASE BALANCE'!B:B,A4,'BASE BALANCE'!E:E)</f>
        <v>4462591853</v>
      </c>
      <c r="C4" s="406"/>
      <c r="D4" s="405">
        <v>3432303682</v>
      </c>
    </row>
    <row r="5" spans="1:6" x14ac:dyDescent="0.3">
      <c r="A5" s="137" t="s">
        <v>240</v>
      </c>
      <c r="B5" s="405">
        <f>SUMIF('BASE BALANCE'!B:B,A5,'BASE BALANCE'!E:E)</f>
        <v>4006267168</v>
      </c>
      <c r="C5" s="406"/>
      <c r="D5" s="405">
        <v>1661122389</v>
      </c>
    </row>
    <row r="6" spans="1:6" x14ac:dyDescent="0.3">
      <c r="A6" s="137" t="s">
        <v>242</v>
      </c>
      <c r="B6" s="405">
        <f>SUMIF('BASE BALANCE'!B:B,A6,'BASE BALANCE'!E:E)</f>
        <v>958520506</v>
      </c>
      <c r="C6" s="406"/>
      <c r="D6" s="405">
        <v>1040634065</v>
      </c>
    </row>
    <row r="7" spans="1:6" x14ac:dyDescent="0.3">
      <c r="A7" s="135" t="s">
        <v>238</v>
      </c>
      <c r="B7" s="405">
        <f>SUMIF('BASE BALANCE'!B:B,A7,'BASE BALANCE'!E:E)</f>
        <v>306718</v>
      </c>
      <c r="C7" s="406"/>
      <c r="D7" s="405">
        <v>1027720505</v>
      </c>
    </row>
    <row r="8" spans="1:6" x14ac:dyDescent="0.3">
      <c r="A8" s="135" t="s">
        <v>521</v>
      </c>
      <c r="B8" s="405">
        <f>SUMIF('BASE BALANCE'!B:B,A8,'BASE BALANCE'!E:E)</f>
        <v>303559698</v>
      </c>
      <c r="C8" s="406"/>
      <c r="D8" s="405">
        <v>614639857</v>
      </c>
    </row>
    <row r="9" spans="1:6" x14ac:dyDescent="0.3">
      <c r="A9" s="137" t="s">
        <v>244</v>
      </c>
      <c r="B9" s="405">
        <f>SUMIF('BASE BALANCE'!B:B,A9,'BASE BALANCE'!E:E)</f>
        <v>205046943</v>
      </c>
      <c r="C9" s="406"/>
      <c r="D9" s="405">
        <v>606391752</v>
      </c>
      <c r="E9" s="138"/>
    </row>
    <row r="10" spans="1:6" x14ac:dyDescent="0.3">
      <c r="A10" s="135" t="s">
        <v>243</v>
      </c>
      <c r="B10" s="405">
        <f>SUMIF('BASE BALANCE'!B:B,A10,'BASE BALANCE'!E:E)</f>
        <v>58000003</v>
      </c>
      <c r="C10" s="407"/>
      <c r="D10" s="405">
        <v>56000003</v>
      </c>
    </row>
    <row r="11" spans="1:6" x14ac:dyDescent="0.3">
      <c r="A11" s="135" t="s">
        <v>245</v>
      </c>
      <c r="B11" s="405">
        <f>SUMIF('BASE BALANCE'!B:B,A11,'BASE BALANCE'!E:E)</f>
        <v>34223873</v>
      </c>
      <c r="C11" s="406"/>
      <c r="D11" s="405" t="s">
        <v>522</v>
      </c>
    </row>
    <row r="12" spans="1:6" x14ac:dyDescent="0.3">
      <c r="A12" s="135" t="s">
        <v>239</v>
      </c>
      <c r="B12" s="405">
        <f>SUMIF('BASE BALANCE'!B:B,A12,'BASE BALANCE'!E:E)</f>
        <v>379071</v>
      </c>
      <c r="C12" s="406"/>
      <c r="D12" s="405">
        <v>370978</v>
      </c>
    </row>
    <row r="13" spans="1:6" x14ac:dyDescent="0.3">
      <c r="A13" s="135" t="s">
        <v>241</v>
      </c>
      <c r="B13" s="405">
        <f>SUMIF('BASE BALANCE'!B:B,A13,'BASE BALANCE'!E:E)</f>
        <v>752308779</v>
      </c>
      <c r="C13" s="406"/>
      <c r="D13" s="405">
        <v>62025</v>
      </c>
      <c r="E13" s="138"/>
    </row>
    <row r="14" spans="1:6" ht="15" thickBot="1" x14ac:dyDescent="0.35">
      <c r="A14" s="139" t="s">
        <v>246</v>
      </c>
      <c r="B14" s="140">
        <f>SUM(B4:B13)</f>
        <v>10781204612</v>
      </c>
      <c r="C14" s="139"/>
      <c r="D14" s="140">
        <v>8439245256</v>
      </c>
    </row>
    <row r="15" spans="1:6" ht="15" thickTop="1" x14ac:dyDescent="0.3">
      <c r="A15" s="141"/>
      <c r="B15" s="141"/>
      <c r="C15" s="141"/>
      <c r="D15" s="141"/>
    </row>
    <row r="16" spans="1:6" x14ac:dyDescent="0.3">
      <c r="A16" s="142" t="s">
        <v>247</v>
      </c>
      <c r="B16" s="143">
        <f>+B14-BG!D9</f>
        <v>0</v>
      </c>
      <c r="C16" s="142"/>
      <c r="D16" s="143">
        <f>+D14-BG!F9</f>
        <v>0</v>
      </c>
    </row>
    <row r="21" spans="6:6" x14ac:dyDescent="0.3">
      <c r="F21" s="144"/>
    </row>
    <row r="22" spans="6:6" x14ac:dyDescent="0.3">
      <c r="F22" s="144"/>
    </row>
  </sheetData>
  <mergeCells count="1">
    <mergeCell ref="A1:D1"/>
  </mergeCells>
  <hyperlinks>
    <hyperlink ref="E1" location="Indice!D12" display="Indice" xr:uid="{90887267-13AA-3548-B73A-52DA22EDB697}"/>
    <hyperlink ref="F1" location="BG!D9" display="BG" xr:uid="{43336BD4-2793-ED42-8CCC-D2B5A79B13A3}"/>
  </hyperlink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59721F-9853-4A4A-9198-6C2DB5AF83AA}">
  <sheetPr>
    <tabColor rgb="FF002060"/>
  </sheetPr>
  <dimension ref="A1:F36"/>
  <sheetViews>
    <sheetView showGridLines="0" zoomScale="96" zoomScaleNormal="96" workbookViewId="0">
      <selection activeCell="F1" sqref="F1"/>
    </sheetView>
  </sheetViews>
  <sheetFormatPr baseColWidth="10" defaultColWidth="11.5" defaultRowHeight="14.4" x14ac:dyDescent="0.3"/>
  <cols>
    <col min="1" max="1" width="48" style="145" bestFit="1" customWidth="1"/>
    <col min="2" max="2" width="14.59765625" style="145" bestFit="1" customWidth="1"/>
    <col min="3" max="3" width="2.59765625" style="145" customWidth="1"/>
    <col min="4" max="4" width="14.59765625" style="145" bestFit="1" customWidth="1"/>
    <col min="5" max="16384" width="11.5" style="145"/>
  </cols>
  <sheetData>
    <row r="1" spans="1:6" ht="17.399999999999999" x14ac:dyDescent="0.3">
      <c r="A1" s="612" t="s">
        <v>248</v>
      </c>
      <c r="B1" s="612"/>
      <c r="C1" s="612"/>
      <c r="D1" s="612"/>
      <c r="E1" s="49" t="s">
        <v>118</v>
      </c>
      <c r="F1" s="97" t="s">
        <v>62</v>
      </c>
    </row>
    <row r="2" spans="1:6" x14ac:dyDescent="0.3">
      <c r="A2" s="130"/>
      <c r="B2" s="130"/>
      <c r="C2" s="130"/>
      <c r="D2" s="130"/>
    </row>
    <row r="3" spans="1:6" x14ac:dyDescent="0.3">
      <c r="A3" s="133"/>
      <c r="B3" s="132" t="s">
        <v>1534</v>
      </c>
      <c r="C3" s="133"/>
      <c r="D3" s="132" t="s">
        <v>478</v>
      </c>
    </row>
    <row r="4" spans="1:6" x14ac:dyDescent="0.3">
      <c r="A4" s="133" t="s">
        <v>236</v>
      </c>
      <c r="B4" s="146"/>
      <c r="C4" s="133"/>
      <c r="D4" s="146"/>
    </row>
    <row r="5" spans="1:6" x14ac:dyDescent="0.3">
      <c r="A5" s="135" t="s">
        <v>249</v>
      </c>
      <c r="B5" s="136">
        <f>SUMIF('BASE BALANCE'!B:B,A5,'BASE BALANCE'!E:E)</f>
        <v>10720601125</v>
      </c>
      <c r="C5" s="135"/>
      <c r="D5" s="136">
        <v>11116840825</v>
      </c>
    </row>
    <row r="6" spans="1:6" x14ac:dyDescent="0.3">
      <c r="A6" s="147" t="s">
        <v>250</v>
      </c>
      <c r="B6" s="136">
        <f>SUMIF('BASE BALANCE'!B:B,A6,'BASE BALANCE'!E:E)</f>
        <v>20201794300</v>
      </c>
      <c r="C6" s="147"/>
      <c r="D6" s="136">
        <v>8440997636</v>
      </c>
    </row>
    <row r="7" spans="1:6" x14ac:dyDescent="0.3">
      <c r="A7" s="135" t="s">
        <v>251</v>
      </c>
      <c r="B7" s="136">
        <f>SUMIF('BASE BALANCE'!B:B,A7,'BASE BALANCE'!E:E)</f>
        <v>1280949872</v>
      </c>
      <c r="C7" s="135"/>
      <c r="D7" s="136">
        <v>1355593685</v>
      </c>
    </row>
    <row r="8" spans="1:6" x14ac:dyDescent="0.3">
      <c r="A8" s="147" t="s">
        <v>252</v>
      </c>
      <c r="B8" s="136">
        <f>SUMIF('BASE BALANCE'!B:B,A8,'BASE BALANCE'!E:E)</f>
        <v>46668771</v>
      </c>
      <c r="C8" s="147"/>
      <c r="D8" s="136">
        <v>45205707</v>
      </c>
    </row>
    <row r="9" spans="1:6" x14ac:dyDescent="0.3">
      <c r="A9" s="135" t="s">
        <v>253</v>
      </c>
      <c r="B9" s="136">
        <f>SUMIF('BASE BALANCE'!B:B,A9,'BASE BALANCE'!E:E)</f>
        <v>25301740</v>
      </c>
      <c r="C9" s="135"/>
      <c r="D9" s="136">
        <v>19399237</v>
      </c>
    </row>
    <row r="10" spans="1:6" x14ac:dyDescent="0.3">
      <c r="A10" s="135" t="s">
        <v>254</v>
      </c>
      <c r="B10" s="149">
        <f>SUMIF('BASE BALANCE'!B:B,A10,'BASE BALANCE'!E:E)-B16</f>
        <v>-3651909300</v>
      </c>
      <c r="C10" s="135"/>
      <c r="D10" s="149">
        <v>-3651955242</v>
      </c>
    </row>
    <row r="11" spans="1:6" ht="15" thickBot="1" x14ac:dyDescent="0.35">
      <c r="A11" s="139" t="s">
        <v>246</v>
      </c>
      <c r="B11" s="140">
        <f>SUM(B5:B10)</f>
        <v>28623406508</v>
      </c>
      <c r="C11" s="139"/>
      <c r="D11" s="140">
        <f>SUM(D5:D10)</f>
        <v>17326081848</v>
      </c>
    </row>
    <row r="12" spans="1:6" ht="15" thickTop="1" x14ac:dyDescent="0.3">
      <c r="A12" s="139"/>
      <c r="B12" s="150"/>
      <c r="C12" s="139"/>
      <c r="D12" s="150"/>
    </row>
    <row r="13" spans="1:6" x14ac:dyDescent="0.3">
      <c r="A13" s="133" t="s">
        <v>255</v>
      </c>
      <c r="B13" s="141"/>
      <c r="C13" s="141"/>
      <c r="D13" s="141"/>
    </row>
    <row r="14" spans="1:6" x14ac:dyDescent="0.3">
      <c r="A14" s="135" t="s">
        <v>256</v>
      </c>
      <c r="B14" s="136">
        <f>SUMIF('BASE BALANCE'!B:B,A14,'BASE BALANCE'!E:E)</f>
        <v>416527296</v>
      </c>
      <c r="C14" s="135"/>
      <c r="D14" s="136">
        <v>530679587</v>
      </c>
    </row>
    <row r="15" spans="1:6" x14ac:dyDescent="0.3">
      <c r="A15" s="135" t="s">
        <v>257</v>
      </c>
      <c r="B15" s="136">
        <f>SUMIF('BASE BALANCE'!B:B,A15,'BASE BALANCE'!E:E)</f>
        <v>5846254433</v>
      </c>
      <c r="C15" s="135"/>
      <c r="D15" s="136">
        <v>5592293787</v>
      </c>
    </row>
    <row r="16" spans="1:6" x14ac:dyDescent="0.3">
      <c r="A16" s="135" t="s">
        <v>254</v>
      </c>
      <c r="B16" s="149">
        <f>+D16</f>
        <v>-4559101050</v>
      </c>
      <c r="C16" s="135"/>
      <c r="D16" s="149">
        <v>-4559101050</v>
      </c>
    </row>
    <row r="17" spans="1:4" ht="15" thickBot="1" x14ac:dyDescent="0.35">
      <c r="A17" s="139" t="s">
        <v>246</v>
      </c>
      <c r="B17" s="140">
        <f>SUM(B14:B16)</f>
        <v>1703680679</v>
      </c>
      <c r="C17" s="139"/>
      <c r="D17" s="140">
        <f>SUM(D14:D16)</f>
        <v>1563872324</v>
      </c>
    </row>
    <row r="18" spans="1:4" ht="15" thickTop="1" x14ac:dyDescent="0.3">
      <c r="A18" s="141"/>
      <c r="B18" s="141"/>
      <c r="C18" s="141"/>
      <c r="D18" s="141"/>
    </row>
    <row r="19" spans="1:4" x14ac:dyDescent="0.3">
      <c r="A19" s="142" t="s">
        <v>247</v>
      </c>
      <c r="B19" s="143">
        <f>B11+B17-BG!D11-BG!D17</f>
        <v>0</v>
      </c>
      <c r="C19" s="142"/>
      <c r="D19" s="143">
        <v>0</v>
      </c>
    </row>
    <row r="21" spans="1:4" x14ac:dyDescent="0.3">
      <c r="A21" s="151" t="s">
        <v>258</v>
      </c>
    </row>
    <row r="22" spans="1:4" x14ac:dyDescent="0.3">
      <c r="A22" s="152"/>
    </row>
    <row r="23" spans="1:4" x14ac:dyDescent="0.3">
      <c r="B23" s="132" t="s">
        <v>1534</v>
      </c>
      <c r="C23" s="133"/>
      <c r="D23" s="132" t="s">
        <v>478</v>
      </c>
    </row>
    <row r="24" spans="1:4" x14ac:dyDescent="0.3">
      <c r="A24" s="153" t="s">
        <v>259</v>
      </c>
      <c r="B24" s="149">
        <f>+D28</f>
        <v>8211056292</v>
      </c>
      <c r="C24" s="153"/>
      <c r="D24" s="149">
        <v>7929340252</v>
      </c>
    </row>
    <row r="25" spans="1:4" x14ac:dyDescent="0.3">
      <c r="A25" s="153" t="s">
        <v>260</v>
      </c>
      <c r="B25" s="149">
        <v>0</v>
      </c>
      <c r="C25" s="153"/>
      <c r="D25" s="149">
        <v>550425101</v>
      </c>
    </row>
    <row r="26" spans="1:4" hidden="1" x14ac:dyDescent="0.3">
      <c r="A26" s="153" t="s">
        <v>261</v>
      </c>
      <c r="B26" s="154"/>
      <c r="C26" s="153"/>
      <c r="D26" s="154"/>
    </row>
    <row r="27" spans="1:4" x14ac:dyDescent="0.3">
      <c r="A27" s="153" t="s">
        <v>480</v>
      </c>
      <c r="B27" s="149">
        <v>-45942</v>
      </c>
      <c r="C27" s="153"/>
      <c r="D27" s="149">
        <v>-268709061</v>
      </c>
    </row>
    <row r="28" spans="1:4" ht="15" thickBot="1" x14ac:dyDescent="0.35">
      <c r="A28" s="153" t="s">
        <v>262</v>
      </c>
      <c r="B28" s="155">
        <f>SUM(B24:B27)</f>
        <v>8211010350</v>
      </c>
      <c r="C28" s="153"/>
      <c r="D28" s="155">
        <f>SUM(D24:D27)</f>
        <v>8211056292</v>
      </c>
    </row>
    <row r="29" spans="1:4" ht="15" thickTop="1" x14ac:dyDescent="0.3">
      <c r="A29" s="152"/>
    </row>
    <row r="30" spans="1:4" x14ac:dyDescent="0.3">
      <c r="A30" s="152"/>
      <c r="B30" s="157">
        <f>+B28+B16+B10</f>
        <v>0</v>
      </c>
    </row>
    <row r="31" spans="1:4" x14ac:dyDescent="0.3">
      <c r="A31" s="135"/>
    </row>
    <row r="32" spans="1:4" x14ac:dyDescent="0.3">
      <c r="A32" s="135"/>
    </row>
    <row r="33" spans="1:1" x14ac:dyDescent="0.3">
      <c r="A33" s="135"/>
    </row>
    <row r="34" spans="1:1" x14ac:dyDescent="0.3">
      <c r="A34" s="135"/>
    </row>
    <row r="35" spans="1:1" x14ac:dyDescent="0.3">
      <c r="A35" s="135"/>
    </row>
    <row r="36" spans="1:1" x14ac:dyDescent="0.3">
      <c r="A36" s="135"/>
    </row>
  </sheetData>
  <mergeCells count="1">
    <mergeCell ref="A1:D1"/>
  </mergeCells>
  <hyperlinks>
    <hyperlink ref="F1" location="BG!D11" display="BG" xr:uid="{E5BFDD70-BC61-3A49-A29D-3E9D88B6260F}"/>
    <hyperlink ref="E1" location="Indice!D12" display="Indice" xr:uid="{43AF2BA9-45E8-4140-8476-E3F2025DE04C}"/>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13F5F0-85DF-6540-9CC0-26BFC9307787}">
  <sheetPr>
    <tabColor rgb="FF002060"/>
  </sheetPr>
  <dimension ref="A1:F24"/>
  <sheetViews>
    <sheetView showGridLines="0" zoomScaleNormal="100" workbookViewId="0">
      <selection activeCell="F1" sqref="F1"/>
    </sheetView>
  </sheetViews>
  <sheetFormatPr baseColWidth="10" defaultColWidth="11.5" defaultRowHeight="14.4" outlineLevelRow="1" x14ac:dyDescent="0.3"/>
  <cols>
    <col min="1" max="1" width="48" style="145" bestFit="1" customWidth="1"/>
    <col min="2" max="2" width="13.8984375" style="145" customWidth="1"/>
    <col min="3" max="3" width="2.59765625" style="145" customWidth="1"/>
    <col min="4" max="4" width="13.8984375" style="145" customWidth="1"/>
    <col min="5" max="16384" width="11.5" style="145"/>
  </cols>
  <sheetData>
    <row r="1" spans="1:6" ht="17.399999999999999" x14ac:dyDescent="0.3">
      <c r="A1" s="612" t="s">
        <v>263</v>
      </c>
      <c r="B1" s="612"/>
      <c r="C1" s="612"/>
      <c r="D1" s="612"/>
      <c r="E1" s="49" t="s">
        <v>118</v>
      </c>
      <c r="F1" s="97" t="s">
        <v>62</v>
      </c>
    </row>
    <row r="2" spans="1:6" x14ac:dyDescent="0.3">
      <c r="A2" s="130"/>
      <c r="B2" s="130"/>
      <c r="C2" s="130"/>
      <c r="D2" s="130"/>
    </row>
    <row r="3" spans="1:6" x14ac:dyDescent="0.3">
      <c r="B3" s="132" t="s">
        <v>1534</v>
      </c>
      <c r="C3" s="133"/>
      <c r="D3" s="132" t="s">
        <v>478</v>
      </c>
    </row>
    <row r="4" spans="1:6" x14ac:dyDescent="0.3">
      <c r="A4" s="133" t="s">
        <v>236</v>
      </c>
      <c r="B4" s="146"/>
      <c r="C4" s="133"/>
      <c r="D4" s="146"/>
    </row>
    <row r="5" spans="1:6" x14ac:dyDescent="0.3">
      <c r="A5" s="135" t="s">
        <v>481</v>
      </c>
      <c r="B5" s="136">
        <f>SUMIF('BASE BALANCE'!B:B,A5,'BASE BALANCE'!E:E)</f>
        <v>1573333534</v>
      </c>
      <c r="C5" s="135"/>
      <c r="D5" s="136">
        <v>1354135218</v>
      </c>
    </row>
    <row r="6" spans="1:6" x14ac:dyDescent="0.3">
      <c r="A6" s="135" t="s">
        <v>270</v>
      </c>
      <c r="B6" s="136">
        <f>SUMIF('BASE BALANCE'!B:B,A6,'BASE BALANCE'!E:E)</f>
        <v>487008251</v>
      </c>
      <c r="C6" s="135"/>
      <c r="D6" s="136">
        <v>1084474550</v>
      </c>
    </row>
    <row r="7" spans="1:6" x14ac:dyDescent="0.3">
      <c r="A7" s="147" t="s">
        <v>266</v>
      </c>
      <c r="B7" s="136">
        <f>SUMIF('BASE BALANCE'!B:B,A7,'BASE BALANCE'!E:E)</f>
        <v>542660761</v>
      </c>
      <c r="C7" s="147"/>
      <c r="D7" s="136">
        <v>706949222</v>
      </c>
    </row>
    <row r="8" spans="1:6" x14ac:dyDescent="0.3">
      <c r="A8" s="135" t="s">
        <v>482</v>
      </c>
      <c r="B8" s="136">
        <f>SUMIF('BASE BALANCE'!B:B,A8,'BASE BALANCE'!E:E)</f>
        <v>511443915</v>
      </c>
      <c r="C8" s="135"/>
      <c r="D8" s="136">
        <v>627833719</v>
      </c>
    </row>
    <row r="9" spans="1:6" x14ac:dyDescent="0.3">
      <c r="A9" s="135" t="s">
        <v>265</v>
      </c>
      <c r="B9" s="136">
        <f>SUMIF('BASE BALANCE'!B:B,A9,'BASE BALANCE'!E:E)</f>
        <v>482884077</v>
      </c>
      <c r="C9" s="135"/>
      <c r="D9" s="136">
        <v>429652025</v>
      </c>
    </row>
    <row r="10" spans="1:6" x14ac:dyDescent="0.3">
      <c r="A10" s="135" t="s">
        <v>267</v>
      </c>
      <c r="B10" s="136">
        <f>SUMIF('BASE BALANCE'!B:B,A10,'BASE BALANCE'!E:E)</f>
        <v>259241025</v>
      </c>
      <c r="C10" s="135"/>
      <c r="D10" s="136">
        <v>256091856</v>
      </c>
    </row>
    <row r="11" spans="1:6" x14ac:dyDescent="0.3">
      <c r="A11" s="135" t="s">
        <v>268</v>
      </c>
      <c r="B11" s="136">
        <f>SUMIF('BASE BALANCE'!B:B,A11,'BASE BALANCE'!E:E)</f>
        <v>11191261</v>
      </c>
      <c r="C11" s="135"/>
      <c r="D11" s="136">
        <v>54787055</v>
      </c>
    </row>
    <row r="12" spans="1:6" x14ac:dyDescent="0.3">
      <c r="A12" s="135" t="s">
        <v>269</v>
      </c>
      <c r="B12" s="136">
        <f>SUMIF('BASE BALANCE'!B:B,A12,'BASE BALANCE'!E:E)</f>
        <v>18559535</v>
      </c>
      <c r="C12" s="135"/>
      <c r="D12" s="136">
        <v>18559535</v>
      </c>
    </row>
    <row r="13" spans="1:6" x14ac:dyDescent="0.3">
      <c r="A13" s="135" t="s">
        <v>483</v>
      </c>
      <c r="B13" s="136">
        <f>SUMIF('BASE BALANCE'!B:B,A13,'BASE BALANCE'!E:E)</f>
        <v>1908384731</v>
      </c>
      <c r="C13" s="147"/>
      <c r="D13" s="136">
        <v>0</v>
      </c>
    </row>
    <row r="14" spans="1:6" hidden="1" x14ac:dyDescent="0.3">
      <c r="A14" s="135" t="s">
        <v>264</v>
      </c>
      <c r="B14" s="136">
        <f>SUMIF('BASE BALANCE'!B:B,A14,'BASE BALANCE'!E:E)</f>
        <v>0</v>
      </c>
      <c r="C14" s="147"/>
      <c r="D14" s="136">
        <v>0</v>
      </c>
    </row>
    <row r="15" spans="1:6" hidden="1" x14ac:dyDescent="0.3">
      <c r="A15" s="135" t="s">
        <v>271</v>
      </c>
      <c r="B15" s="136">
        <f>SUMIF('BASE BALANCE'!B:B,A15,'BASE BALANCE'!E:E)</f>
        <v>0</v>
      </c>
      <c r="C15" s="147"/>
      <c r="D15" s="136">
        <v>0</v>
      </c>
    </row>
    <row r="16" spans="1:6" x14ac:dyDescent="0.3">
      <c r="A16" s="135" t="s">
        <v>272</v>
      </c>
      <c r="B16" s="136">
        <f>SUMIF('BASE BALANCE'!B:B,A16,'BASE BALANCE'!E:E)</f>
        <v>2893040644</v>
      </c>
      <c r="C16" s="147"/>
      <c r="D16" s="136">
        <v>706742253</v>
      </c>
    </row>
    <row r="17" spans="1:4" x14ac:dyDescent="0.3">
      <c r="A17" s="135" t="s">
        <v>688</v>
      </c>
      <c r="B17" s="136">
        <f>SUMIF('BASE BALANCE'!B:B,A17,'BASE BALANCE'!E:E)</f>
        <v>1761809129</v>
      </c>
      <c r="C17" s="147"/>
      <c r="D17" s="136"/>
    </row>
    <row r="18" spans="1:4" ht="15" thickBot="1" x14ac:dyDescent="0.35">
      <c r="A18" s="139" t="s">
        <v>273</v>
      </c>
      <c r="B18" s="140">
        <f>SUM(B5:B17)</f>
        <v>10449556863</v>
      </c>
      <c r="C18" s="139"/>
      <c r="D18" s="140">
        <f>SUM(D5:D17)</f>
        <v>5239225433</v>
      </c>
    </row>
    <row r="19" spans="1:4" ht="15" thickTop="1" x14ac:dyDescent="0.3">
      <c r="A19" s="139"/>
      <c r="B19" s="150"/>
      <c r="C19" s="139"/>
      <c r="D19" s="150"/>
    </row>
    <row r="20" spans="1:4" outlineLevel="1" x14ac:dyDescent="0.3">
      <c r="A20" s="133" t="s">
        <v>255</v>
      </c>
      <c r="B20" s="141"/>
      <c r="C20" s="141"/>
      <c r="D20" s="141"/>
    </row>
    <row r="21" spans="1:4" outlineLevel="1" x14ac:dyDescent="0.3">
      <c r="A21" s="141" t="s">
        <v>274</v>
      </c>
      <c r="B21" s="136">
        <v>0</v>
      </c>
      <c r="C21" s="135"/>
      <c r="D21" s="136">
        <v>0</v>
      </c>
    </row>
    <row r="22" spans="1:4" ht="15" outlineLevel="1" thickBot="1" x14ac:dyDescent="0.35">
      <c r="A22" s="139" t="s">
        <v>273</v>
      </c>
      <c r="B22" s="140">
        <v>0</v>
      </c>
      <c r="C22" s="139"/>
      <c r="D22" s="140">
        <v>0</v>
      </c>
    </row>
    <row r="23" spans="1:4" ht="15" thickTop="1" x14ac:dyDescent="0.3">
      <c r="A23" s="141"/>
      <c r="B23" s="141"/>
      <c r="C23" s="141"/>
      <c r="D23" s="141"/>
    </row>
    <row r="24" spans="1:4" x14ac:dyDescent="0.3">
      <c r="A24" s="142" t="s">
        <v>247</v>
      </c>
      <c r="B24" s="143">
        <f>+B18-BG!D12</f>
        <v>0</v>
      </c>
      <c r="C24" s="156"/>
      <c r="D24" s="143">
        <v>0</v>
      </c>
    </row>
  </sheetData>
  <mergeCells count="1">
    <mergeCell ref="A1:D1"/>
  </mergeCells>
  <hyperlinks>
    <hyperlink ref="F1" location="BG!D12" display="BG" xr:uid="{05522374-DCB6-E84B-B17C-5D6A4C497DFB}"/>
    <hyperlink ref="E1" location="Indice!D15" display="Indice" xr:uid="{9B10749C-0CCB-A442-AC00-0AED60E53C4E}"/>
  </hyperlink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51506A-50F9-7D43-9B38-8D243F7EA9B7}">
  <sheetPr>
    <tabColor rgb="FF002060"/>
  </sheetPr>
  <dimension ref="A1:F21"/>
  <sheetViews>
    <sheetView showGridLines="0" workbookViewId="0">
      <selection activeCell="F1" sqref="F1"/>
    </sheetView>
  </sheetViews>
  <sheetFormatPr baseColWidth="10" defaultColWidth="11.5" defaultRowHeight="14.4" x14ac:dyDescent="0.3"/>
  <cols>
    <col min="1" max="1" width="48" style="145" bestFit="1" customWidth="1"/>
    <col min="2" max="2" width="14.59765625" style="145" bestFit="1" customWidth="1"/>
    <col min="3" max="3" width="2.59765625" style="145" customWidth="1"/>
    <col min="4" max="4" width="14.59765625" style="145" bestFit="1" customWidth="1"/>
    <col min="5" max="5" width="14.3984375" style="145" bestFit="1" customWidth="1"/>
    <col min="6" max="6" width="13.09765625" style="145" bestFit="1" customWidth="1"/>
    <col min="7" max="16384" width="11.5" style="145"/>
  </cols>
  <sheetData>
    <row r="1" spans="1:6" ht="17.399999999999999" x14ac:dyDescent="0.3">
      <c r="A1" s="612" t="s">
        <v>275</v>
      </c>
      <c r="B1" s="612"/>
      <c r="C1" s="612"/>
      <c r="D1" s="612"/>
      <c r="E1" s="49" t="s">
        <v>118</v>
      </c>
      <c r="F1" s="97" t="s">
        <v>62</v>
      </c>
    </row>
    <row r="2" spans="1:6" x14ac:dyDescent="0.3">
      <c r="A2" s="130"/>
      <c r="B2" s="130"/>
      <c r="C2" s="130"/>
      <c r="D2" s="130"/>
    </row>
    <row r="3" spans="1:6" x14ac:dyDescent="0.3">
      <c r="A3" s="133"/>
      <c r="B3" s="132" t="s">
        <v>1534</v>
      </c>
      <c r="C3" s="133"/>
      <c r="D3" s="132" t="s">
        <v>478</v>
      </c>
    </row>
    <row r="4" spans="1:6" x14ac:dyDescent="0.3">
      <c r="A4" s="147" t="s">
        <v>523</v>
      </c>
      <c r="B4" s="136">
        <f>SUMIF('BASE BALANCE'!B:B,A4,'BASE BALANCE'!E:E)</f>
        <v>34665734629</v>
      </c>
      <c r="C4" s="135"/>
      <c r="D4" s="136">
        <v>61912922936</v>
      </c>
      <c r="E4" s="157"/>
      <c r="F4" s="157"/>
    </row>
    <row r="5" spans="1:6" x14ac:dyDescent="0.3">
      <c r="A5" s="147" t="s">
        <v>276</v>
      </c>
      <c r="B5" s="136">
        <f>SUMIF('BASE BALANCE'!B:B,A5,'BASE BALANCE'!E:E)</f>
        <v>41481719767</v>
      </c>
      <c r="C5" s="135"/>
      <c r="D5" s="136">
        <v>51096298486</v>
      </c>
    </row>
    <row r="6" spans="1:6" x14ac:dyDescent="0.3">
      <c r="A6" s="147" t="s">
        <v>277</v>
      </c>
      <c r="B6" s="136">
        <f>SUMIF('BASE BALANCE'!B:B,A6,'BASE BALANCE'!E:E)</f>
        <v>37443758478</v>
      </c>
      <c r="C6" s="135"/>
      <c r="D6" s="136">
        <v>35137330306</v>
      </c>
    </row>
    <row r="7" spans="1:6" x14ac:dyDescent="0.3">
      <c r="A7" s="147" t="s">
        <v>278</v>
      </c>
      <c r="B7" s="136">
        <f>SUMIF('BASE BALANCE'!B:B,A7,'BASE BALANCE'!E:E)</f>
        <v>22282149243</v>
      </c>
      <c r="C7" s="135"/>
      <c r="D7" s="136">
        <v>20401884716</v>
      </c>
    </row>
    <row r="8" spans="1:6" x14ac:dyDescent="0.3">
      <c r="A8" s="147" t="s">
        <v>281</v>
      </c>
      <c r="B8" s="136">
        <f>SUMIF('BASE BALANCE'!B:B,A8,'BASE BALANCE'!E:E)</f>
        <v>11601412248</v>
      </c>
      <c r="C8" s="135"/>
      <c r="D8" s="136">
        <v>10784382925</v>
      </c>
    </row>
    <row r="9" spans="1:6" x14ac:dyDescent="0.3">
      <c r="A9" s="147" t="s">
        <v>279</v>
      </c>
      <c r="B9" s="136">
        <f>SUMIF('BASE BALANCE'!B:B,A9,'BASE BALANCE'!E:E)</f>
        <v>5484105773</v>
      </c>
      <c r="C9" s="135"/>
      <c r="D9" s="136">
        <v>10017353858</v>
      </c>
    </row>
    <row r="10" spans="1:6" x14ac:dyDescent="0.3">
      <c r="A10" s="147" t="s">
        <v>280</v>
      </c>
      <c r="B10" s="136">
        <f>SUMIF('BASE BALANCE'!B:B,A10,'BASE BALANCE'!E:E)</f>
        <v>6165622071</v>
      </c>
      <c r="C10" s="135"/>
      <c r="D10" s="136">
        <v>6237480243</v>
      </c>
    </row>
    <row r="11" spans="1:6" x14ac:dyDescent="0.3">
      <c r="A11" s="147" t="s">
        <v>484</v>
      </c>
      <c r="B11" s="136">
        <f>SUMIF('BASE BALANCE'!B:B,A11,'BASE BALANCE'!E:E)</f>
        <v>39421059</v>
      </c>
      <c r="C11" s="135"/>
      <c r="D11" s="136">
        <v>4285767073</v>
      </c>
    </row>
    <row r="12" spans="1:6" x14ac:dyDescent="0.3">
      <c r="A12" s="147" t="s">
        <v>282</v>
      </c>
      <c r="B12" s="136">
        <f>SUMIF('BASE BALANCE'!B:B,A12,'BASE BALANCE'!E:E)</f>
        <v>11746966683</v>
      </c>
      <c r="C12" s="135"/>
      <c r="D12" s="136">
        <v>3612155776</v>
      </c>
    </row>
    <row r="13" spans="1:6" ht="15" thickBot="1" x14ac:dyDescent="0.35">
      <c r="A13" s="139" t="s">
        <v>246</v>
      </c>
      <c r="B13" s="140">
        <f>SUM(B4:B12)</f>
        <v>170910889951</v>
      </c>
      <c r="C13" s="139"/>
      <c r="D13" s="140">
        <f>SUM(D4:D12)</f>
        <v>203485576319</v>
      </c>
    </row>
    <row r="14" spans="1:6" ht="15" thickTop="1" x14ac:dyDescent="0.3">
      <c r="A14" s="141"/>
      <c r="B14" s="141"/>
      <c r="C14" s="141"/>
      <c r="D14" s="141"/>
    </row>
    <row r="15" spans="1:6" x14ac:dyDescent="0.3">
      <c r="A15" s="142" t="s">
        <v>247</v>
      </c>
      <c r="B15" s="143">
        <f>+B13-BG!D13</f>
        <v>0</v>
      </c>
      <c r="C15" s="142"/>
      <c r="D15" s="143">
        <v>0</v>
      </c>
    </row>
    <row r="20" spans="5:5" x14ac:dyDescent="0.3">
      <c r="E20" s="158"/>
    </row>
    <row r="21" spans="5:5" x14ac:dyDescent="0.3">
      <c r="E21" s="158"/>
    </row>
  </sheetData>
  <mergeCells count="1">
    <mergeCell ref="A1:D1"/>
  </mergeCells>
  <hyperlinks>
    <hyperlink ref="F1" location="BG!D13" display="BG" xr:uid="{C996DE2E-E4B7-EF43-9405-FFCC6E565F4B}"/>
    <hyperlink ref="E1" location="Indice!D16" display="Indice" xr:uid="{C757F728-291B-3441-987E-51559D798FBD}"/>
  </hyperlink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0778E4-2CC7-9441-9F7F-2F5AA0557192}">
  <sheetPr>
    <tabColor rgb="FF002060"/>
  </sheetPr>
  <dimension ref="A1:R63"/>
  <sheetViews>
    <sheetView showGridLines="0" zoomScaleNormal="100" workbookViewId="0">
      <selection activeCell="N1" sqref="N1"/>
    </sheetView>
  </sheetViews>
  <sheetFormatPr baseColWidth="10" defaultColWidth="10" defaultRowHeight="13.2" x14ac:dyDescent="0.25"/>
  <cols>
    <col min="1" max="1" width="29.8984375" style="159" customWidth="1"/>
    <col min="2" max="2" width="17" style="159" customWidth="1"/>
    <col min="3" max="3" width="2.09765625" style="159" customWidth="1"/>
    <col min="4" max="4" width="13.19921875" style="159" bestFit="1" customWidth="1"/>
    <col min="5" max="5" width="2" style="159" customWidth="1"/>
    <col min="6" max="6" width="13.3984375" style="159" customWidth="1"/>
    <col min="7" max="7" width="2.59765625" style="159" customWidth="1"/>
    <col min="8" max="8" width="16.3984375" style="159" bestFit="1" customWidth="1"/>
    <col min="9" max="9" width="2.3984375" style="159" customWidth="1"/>
    <col min="10" max="10" width="15.09765625" style="159" bestFit="1" customWidth="1"/>
    <col min="11" max="11" width="3.5" style="159" customWidth="1"/>
    <col min="12" max="12" width="15.59765625" style="159" customWidth="1"/>
    <col min="13" max="13" width="3.09765625" style="159" customWidth="1"/>
    <col min="14" max="14" width="13.5" style="341" bestFit="1" customWidth="1"/>
    <col min="15" max="15" width="11.19921875" style="159" bestFit="1" customWidth="1"/>
    <col min="16" max="16" width="13.19921875" style="159" bestFit="1" customWidth="1"/>
    <col min="17" max="17" width="10" style="159"/>
    <col min="18" max="18" width="12.296875" style="159" bestFit="1" customWidth="1"/>
    <col min="19" max="16384" width="10" style="159"/>
  </cols>
  <sheetData>
    <row r="1" spans="1:14" ht="17.399999999999999" x14ac:dyDescent="0.3">
      <c r="A1" s="611" t="s">
        <v>283</v>
      </c>
      <c r="B1" s="611"/>
      <c r="C1" s="611"/>
      <c r="D1" s="611"/>
      <c r="M1" s="49" t="s">
        <v>118</v>
      </c>
      <c r="N1" s="340" t="s">
        <v>62</v>
      </c>
    </row>
    <row r="2" spans="1:14" ht="13.8" x14ac:dyDescent="0.3">
      <c r="A2" s="160" t="s">
        <v>1543</v>
      </c>
    </row>
    <row r="3" spans="1:14" x14ac:dyDescent="0.25">
      <c r="A3" s="161" t="s">
        <v>202</v>
      </c>
    </row>
    <row r="6" spans="1:14" x14ac:dyDescent="0.25">
      <c r="A6" s="320" t="s">
        <v>485</v>
      </c>
      <c r="B6" s="320"/>
      <c r="C6" s="613"/>
      <c r="D6" s="613"/>
    </row>
    <row r="7" spans="1:14" x14ac:dyDescent="0.25">
      <c r="A7" s="28"/>
      <c r="B7" s="28"/>
      <c r="C7" s="614"/>
      <c r="D7" s="614"/>
    </row>
    <row r="8" spans="1:14" ht="13.8" x14ac:dyDescent="0.25">
      <c r="A8" s="28"/>
      <c r="B8" s="132" t="s">
        <v>1534</v>
      </c>
      <c r="C8" s="322"/>
      <c r="D8" s="321" t="s">
        <v>478</v>
      </c>
    </row>
    <row r="9" spans="1:14" x14ac:dyDescent="0.25">
      <c r="A9" s="323" t="s">
        <v>288</v>
      </c>
      <c r="B9" s="136">
        <f>SUMIF('BASE BALANCE'!B:B,A9,'BASE BALANCE'!E:E)</f>
        <v>69692039421</v>
      </c>
      <c r="C9" s="325"/>
      <c r="D9" s="324">
        <f>SUMIF('BASE BALANCE'!B:B,A9,'BASE BALANCE'!F:F)</f>
        <v>71172772620</v>
      </c>
    </row>
    <row r="10" spans="1:14" x14ac:dyDescent="0.25">
      <c r="A10" s="323" t="s">
        <v>290</v>
      </c>
      <c r="B10" s="136">
        <f>SUMIF('BASE BALANCE'!B:B,A10,'BASE BALANCE'!E:E)</f>
        <v>40630251091</v>
      </c>
      <c r="C10" s="324"/>
      <c r="D10" s="324">
        <f>SUMIF('BASE BALANCE'!B:B,A10,'BASE BALANCE'!F:F)</f>
        <v>53452078513</v>
      </c>
      <c r="F10" s="523"/>
      <c r="H10" s="524"/>
      <c r="J10" s="524"/>
    </row>
    <row r="11" spans="1:14" x14ac:dyDescent="0.25">
      <c r="A11" s="323" t="s">
        <v>486</v>
      </c>
      <c r="B11" s="136">
        <f>SUMIF('BASE BALANCE'!B:B,A11,'BASE BALANCE'!E:E)</f>
        <v>15987204525</v>
      </c>
      <c r="C11" s="325"/>
      <c r="D11" s="324">
        <f>SUMIF('BASE BALANCE'!B:B,A11,'BASE BALANCE'!F:F)</f>
        <v>15987204525</v>
      </c>
    </row>
    <row r="12" spans="1:14" x14ac:dyDescent="0.25">
      <c r="A12" s="323" t="s">
        <v>287</v>
      </c>
      <c r="B12" s="136">
        <f>SUMIF('BASE BALANCE'!B:B,A12,'BASE BALANCE'!E:E)</f>
        <v>15403524387</v>
      </c>
      <c r="C12" s="324"/>
      <c r="D12" s="324">
        <f>SUMIF('BASE BALANCE'!B:B,A12,'BASE BALANCE'!F:F)</f>
        <v>15407775928</v>
      </c>
      <c r="H12" s="524"/>
      <c r="J12" s="524"/>
    </row>
    <row r="13" spans="1:14" x14ac:dyDescent="0.25">
      <c r="A13" s="323" t="s">
        <v>296</v>
      </c>
      <c r="B13" s="136">
        <f>SUMIF('BASE BALANCE'!B:B,A13,'BASE BALANCE'!E:E)</f>
        <v>93620363742</v>
      </c>
      <c r="C13" s="324"/>
      <c r="D13" s="324">
        <f>SUMIF('BASE BALANCE'!B:B,A13,'BASE BALANCE'!F:F)</f>
        <v>10684044344</v>
      </c>
      <c r="F13" s="523"/>
    </row>
    <row r="14" spans="1:14" x14ac:dyDescent="0.25">
      <c r="A14" s="323" t="s">
        <v>297</v>
      </c>
      <c r="B14" s="136">
        <f>SUMIF('BASE BALANCE'!B:B,A14,'BASE BALANCE'!E:E)</f>
        <v>3979717726</v>
      </c>
      <c r="C14" s="324"/>
      <c r="D14" s="324">
        <f>SUMIF('BASE BALANCE'!B:B,A14,'BASE BALANCE'!F:F)</f>
        <v>3858338026</v>
      </c>
    </row>
    <row r="15" spans="1:14" x14ac:dyDescent="0.25">
      <c r="A15" s="323" t="s">
        <v>293</v>
      </c>
      <c r="B15" s="136">
        <f>SUMIF('BASE BALANCE'!B:B,A15,'BASE BALANCE'!E:E)</f>
        <v>1476447609</v>
      </c>
      <c r="C15" s="324"/>
      <c r="D15" s="324">
        <f>SUMIF('BASE BALANCE'!B:B,A15,'BASE BALANCE'!F:F)</f>
        <v>1767341193</v>
      </c>
    </row>
    <row r="16" spans="1:14" x14ac:dyDescent="0.25">
      <c r="A16" s="323" t="s">
        <v>289</v>
      </c>
      <c r="B16" s="136">
        <f>SUMIF('BASE BALANCE'!B:B,A16,'BASE BALANCE'!E:E)</f>
        <v>1298379411</v>
      </c>
      <c r="C16" s="324"/>
      <c r="D16" s="324">
        <f>SUMIF('BASE BALANCE'!B:B,A16,'BASE BALANCE'!F:F)</f>
        <v>1012470692</v>
      </c>
    </row>
    <row r="17" spans="1:18" x14ac:dyDescent="0.25">
      <c r="A17" s="323" t="s">
        <v>295</v>
      </c>
      <c r="B17" s="136">
        <f>SUMIF('BASE BALANCE'!B:B,A17,'BASE BALANCE'!E:E)</f>
        <v>1580494357</v>
      </c>
      <c r="C17" s="324"/>
      <c r="D17" s="324">
        <f>SUMIF('BASE BALANCE'!B:B,A17,'BASE BALANCE'!F:F)</f>
        <v>972759566</v>
      </c>
    </row>
    <row r="18" spans="1:18" x14ac:dyDescent="0.25">
      <c r="A18" s="323" t="s">
        <v>292</v>
      </c>
      <c r="B18" s="136">
        <f>SUMIF('BASE BALANCE'!B:B,A18,'BASE BALANCE'!E:E)</f>
        <v>701403116</v>
      </c>
      <c r="C18" s="324"/>
      <c r="D18" s="324">
        <f>SUMIF('BASE BALANCE'!B:B,A18,'BASE BALANCE'!F:F)</f>
        <v>848257581</v>
      </c>
    </row>
    <row r="19" spans="1:18" x14ac:dyDescent="0.25">
      <c r="A19" s="323" t="s">
        <v>294</v>
      </c>
      <c r="B19" s="136">
        <f>SUMIF('BASE BALANCE'!B:B,A19,'BASE BALANCE'!E:E)</f>
        <v>623196689</v>
      </c>
      <c r="C19" s="324"/>
      <c r="D19" s="324">
        <f>SUMIF('BASE BALANCE'!B:B,A19,'BASE BALANCE'!F:F)</f>
        <v>653392508</v>
      </c>
    </row>
    <row r="20" spans="1:18" x14ac:dyDescent="0.25">
      <c r="A20" s="323" t="s">
        <v>291</v>
      </c>
      <c r="B20" s="136">
        <f>SUMIF('BASE BALANCE'!B:B,A20,'BASE BALANCE'!E:E)</f>
        <v>86515379</v>
      </c>
      <c r="C20" s="324"/>
      <c r="D20" s="324">
        <f>SUMIF('BASE BALANCE'!B:B,A20,'BASE BALANCE'!F:F)</f>
        <v>97226833</v>
      </c>
    </row>
    <row r="21" spans="1:18" x14ac:dyDescent="0.25">
      <c r="A21" s="323" t="s">
        <v>487</v>
      </c>
      <c r="B21" s="136">
        <f>SUMIF('BASE BALANCE'!B:B,A21,'BASE BALANCE'!E:E)</f>
        <v>78779537</v>
      </c>
      <c r="C21" s="324"/>
      <c r="D21" s="324">
        <f>SUMIF('BASE BALANCE'!B:B,A21,'BASE BALANCE'!F:F)</f>
        <v>74611197</v>
      </c>
    </row>
    <row r="22" spans="1:18" ht="13.8" thickBot="1" x14ac:dyDescent="0.3">
      <c r="A22" s="326" t="s">
        <v>246</v>
      </c>
      <c r="B22" s="327">
        <f>SUM(B9:B21)</f>
        <v>245158316990</v>
      </c>
      <c r="C22" s="326"/>
      <c r="D22" s="327">
        <f>SUM(D9:D21)</f>
        <v>175988273526</v>
      </c>
      <c r="F22" s="524"/>
    </row>
    <row r="23" spans="1:18" ht="13.8" thickTop="1" x14ac:dyDescent="0.25">
      <c r="A23" s="28"/>
      <c r="B23" s="28"/>
      <c r="C23" s="614"/>
      <c r="D23" s="614"/>
    </row>
    <row r="24" spans="1:18" ht="13.8" x14ac:dyDescent="0.25">
      <c r="A24" s="328" t="s">
        <v>247</v>
      </c>
      <c r="B24" s="329">
        <f>+B22-BG!D19-BG!D20</f>
        <v>0</v>
      </c>
      <c r="C24" s="330"/>
      <c r="D24" s="329">
        <v>-0.3282470703125</v>
      </c>
    </row>
    <row r="27" spans="1:18" x14ac:dyDescent="0.25">
      <c r="A27" s="320" t="s">
        <v>488</v>
      </c>
      <c r="B27" s="320"/>
      <c r="C27" s="613"/>
      <c r="D27" s="613"/>
      <c r="E27" s="613"/>
      <c r="F27" s="613"/>
      <c r="G27" s="613"/>
      <c r="H27" s="613"/>
      <c r="I27" s="613"/>
      <c r="J27" s="613"/>
      <c r="K27" s="613"/>
      <c r="L27" s="613"/>
      <c r="M27" s="613"/>
      <c r="N27" s="613"/>
    </row>
    <row r="28" spans="1:18" x14ac:dyDescent="0.25">
      <c r="A28" s="28"/>
      <c r="B28" s="28"/>
      <c r="C28" s="614"/>
      <c r="D28" s="614"/>
      <c r="E28" s="614"/>
      <c r="F28" s="614"/>
      <c r="G28" s="614"/>
      <c r="H28" s="614"/>
      <c r="I28" s="614"/>
      <c r="J28" s="614"/>
      <c r="K28" s="614"/>
      <c r="L28" s="614"/>
      <c r="M28" s="28"/>
      <c r="N28" s="342"/>
    </row>
    <row r="29" spans="1:18" ht="26.4" x14ac:dyDescent="0.3">
      <c r="A29" s="28"/>
      <c r="B29" s="343" t="s">
        <v>492</v>
      </c>
      <c r="C29" s="332"/>
      <c r="D29" s="331" t="s">
        <v>490</v>
      </c>
      <c r="E29" s="332"/>
      <c r="F29" s="331" t="s">
        <v>284</v>
      </c>
      <c r="G29" s="332"/>
      <c r="H29" s="331" t="s">
        <v>285</v>
      </c>
      <c r="I29" s="332"/>
      <c r="J29" s="331" t="s">
        <v>286</v>
      </c>
      <c r="K29"/>
      <c r="L29" s="331" t="s">
        <v>491</v>
      </c>
      <c r="M29" s="332"/>
      <c r="N29" s="343" t="s">
        <v>492</v>
      </c>
    </row>
    <row r="30" spans="1:18" ht="15.6" x14ac:dyDescent="0.3">
      <c r="A30" s="323" t="s">
        <v>288</v>
      </c>
      <c r="B30" s="344">
        <v>71172772620</v>
      </c>
      <c r="C30" s="324"/>
      <c r="D30" s="324">
        <v>0</v>
      </c>
      <c r="E30" s="324"/>
      <c r="F30" s="324">
        <v>0</v>
      </c>
      <c r="G30" s="324"/>
      <c r="H30" s="324">
        <v>0</v>
      </c>
      <c r="I30" s="324"/>
      <c r="J30" s="333">
        <v>0</v>
      </c>
      <c r="K30"/>
      <c r="L30" s="333">
        <v>-987155466</v>
      </c>
      <c r="M30" s="324"/>
      <c r="N30" s="344">
        <f>SUM(B30:L30)</f>
        <v>70185617154</v>
      </c>
      <c r="O30" s="523"/>
      <c r="P30" s="324"/>
      <c r="R30" s="324"/>
    </row>
    <row r="31" spans="1:18" ht="15.6" x14ac:dyDescent="0.3">
      <c r="A31" s="323" t="s">
        <v>290</v>
      </c>
      <c r="B31" s="344">
        <v>53452078513</v>
      </c>
      <c r="C31" s="324"/>
      <c r="D31" s="334">
        <v>0</v>
      </c>
      <c r="E31" s="324"/>
      <c r="F31" s="324">
        <v>0</v>
      </c>
      <c r="G31" s="324"/>
      <c r="H31" s="324">
        <v>0</v>
      </c>
      <c r="I31" s="324"/>
      <c r="J31" s="335">
        <v>0</v>
      </c>
      <c r="K31"/>
      <c r="L31" s="333">
        <v>-2820239124</v>
      </c>
      <c r="M31" s="324"/>
      <c r="N31" s="344">
        <f t="shared" ref="N31:N42" si="0">SUM(B31:L31)</f>
        <v>50631839389</v>
      </c>
      <c r="O31" s="523"/>
      <c r="P31" s="324"/>
      <c r="R31" s="324"/>
    </row>
    <row r="32" spans="1:18" ht="15.6" x14ac:dyDescent="0.3">
      <c r="A32" s="323" t="s">
        <v>486</v>
      </c>
      <c r="B32" s="344">
        <v>15987204525</v>
      </c>
      <c r="C32" s="324"/>
      <c r="D32" s="334">
        <v>0</v>
      </c>
      <c r="E32" s="324"/>
      <c r="F32" s="324">
        <v>0</v>
      </c>
      <c r="G32" s="324"/>
      <c r="H32" s="324">
        <v>0</v>
      </c>
      <c r="I32" s="324"/>
      <c r="J32" s="335">
        <v>0</v>
      </c>
      <c r="K32"/>
      <c r="L32" s="333">
        <v>0</v>
      </c>
      <c r="M32" s="324"/>
      <c r="N32" s="344">
        <f t="shared" si="0"/>
        <v>15987204525</v>
      </c>
      <c r="O32" s="523"/>
      <c r="P32" s="324"/>
      <c r="R32" s="324"/>
    </row>
    <row r="33" spans="1:18" ht="15.6" x14ac:dyDescent="0.3">
      <c r="A33" s="323" t="s">
        <v>287</v>
      </c>
      <c r="B33" s="136">
        <v>15407775928</v>
      </c>
      <c r="C33" s="324"/>
      <c r="D33" s="334">
        <v>35778910</v>
      </c>
      <c r="E33" s="324"/>
      <c r="F33" s="324">
        <v>0</v>
      </c>
      <c r="G33" s="324"/>
      <c r="H33" s="324">
        <v>0</v>
      </c>
      <c r="I33" s="324"/>
      <c r="J33" s="335">
        <v>0</v>
      </c>
      <c r="K33"/>
      <c r="L33" s="333">
        <v>0</v>
      </c>
      <c r="M33" s="324"/>
      <c r="N33" s="344">
        <f t="shared" si="0"/>
        <v>15443554838</v>
      </c>
      <c r="O33" s="523"/>
      <c r="P33" s="324"/>
      <c r="R33" s="324"/>
    </row>
    <row r="34" spans="1:18" ht="15.6" x14ac:dyDescent="0.3">
      <c r="A34" s="323" t="s">
        <v>296</v>
      </c>
      <c r="B34" s="344">
        <v>10684044343.759998</v>
      </c>
      <c r="C34" s="324"/>
      <c r="D34" s="334">
        <f>1805295627+49402361315-3182891170</f>
        <v>48024765772</v>
      </c>
      <c r="E34" s="324"/>
      <c r="F34" s="324">
        <v>0</v>
      </c>
      <c r="G34" s="324"/>
      <c r="H34" s="324">
        <v>0</v>
      </c>
      <c r="I34" s="324"/>
      <c r="J34" s="335">
        <v>0</v>
      </c>
      <c r="K34"/>
      <c r="L34" s="333">
        <v>0</v>
      </c>
      <c r="M34" s="324"/>
      <c r="N34" s="344">
        <f t="shared" si="0"/>
        <v>58708810115.759995</v>
      </c>
      <c r="O34" s="523"/>
      <c r="P34" s="324"/>
      <c r="R34" s="324"/>
    </row>
    <row r="35" spans="1:18" ht="15.6" x14ac:dyDescent="0.3">
      <c r="A35" s="323" t="s">
        <v>297</v>
      </c>
      <c r="B35" s="344">
        <v>3858338026</v>
      </c>
      <c r="C35" s="324"/>
      <c r="D35" s="334">
        <f>58646769+66445082</f>
        <v>125091851</v>
      </c>
      <c r="E35" s="324"/>
      <c r="F35" s="324">
        <v>0</v>
      </c>
      <c r="G35" s="324"/>
      <c r="H35" s="324">
        <v>0</v>
      </c>
      <c r="I35" s="324"/>
      <c r="J35" s="335">
        <v>0</v>
      </c>
      <c r="K35"/>
      <c r="L35" s="333">
        <v>0</v>
      </c>
      <c r="M35" s="324"/>
      <c r="N35" s="344">
        <f t="shared" si="0"/>
        <v>3983429877</v>
      </c>
      <c r="O35" s="523"/>
      <c r="P35" s="324"/>
      <c r="R35" s="324"/>
    </row>
    <row r="36" spans="1:18" ht="15.6" x14ac:dyDescent="0.3">
      <c r="A36" s="323" t="s">
        <v>293</v>
      </c>
      <c r="B36" s="344">
        <v>1767341193</v>
      </c>
      <c r="C36" s="324"/>
      <c r="D36" s="334">
        <v>0</v>
      </c>
      <c r="E36" s="324"/>
      <c r="F36" s="324">
        <v>-8903748</v>
      </c>
      <c r="G36" s="324"/>
      <c r="H36" s="324">
        <v>0</v>
      </c>
      <c r="I36" s="324"/>
      <c r="J36" s="335">
        <v>0</v>
      </c>
      <c r="K36"/>
      <c r="L36" s="333">
        <v>-187993224</v>
      </c>
      <c r="M36" s="324"/>
      <c r="N36" s="344">
        <f t="shared" si="0"/>
        <v>1570444221</v>
      </c>
      <c r="O36" s="523"/>
      <c r="P36" s="324"/>
      <c r="R36" s="324"/>
    </row>
    <row r="37" spans="1:18" ht="15.6" x14ac:dyDescent="0.3">
      <c r="A37" s="323" t="s">
        <v>289</v>
      </c>
      <c r="B37" s="344">
        <v>1012470692</v>
      </c>
      <c r="C37" s="324"/>
      <c r="D37" s="334">
        <f>144616818+295232364</f>
        <v>439849182</v>
      </c>
      <c r="E37" s="324"/>
      <c r="F37" s="324">
        <v>0</v>
      </c>
      <c r="G37" s="324"/>
      <c r="H37" s="324">
        <v>0</v>
      </c>
      <c r="I37" s="324"/>
      <c r="J37" s="335">
        <v>0</v>
      </c>
      <c r="K37"/>
      <c r="L37" s="333">
        <v>-103595310</v>
      </c>
      <c r="M37" s="324"/>
      <c r="N37" s="344">
        <f t="shared" si="0"/>
        <v>1348724564</v>
      </c>
      <c r="O37" s="523"/>
      <c r="P37" s="324"/>
      <c r="R37" s="324"/>
    </row>
    <row r="38" spans="1:18" ht="15.6" x14ac:dyDescent="0.3">
      <c r="A38" s="323" t="s">
        <v>295</v>
      </c>
      <c r="B38" s="344">
        <v>972759566</v>
      </c>
      <c r="C38" s="324"/>
      <c r="D38" s="334">
        <f>51811044+628423284</f>
        <v>680234328</v>
      </c>
      <c r="E38" s="324"/>
      <c r="F38" s="324">
        <v>0</v>
      </c>
      <c r="G38" s="324"/>
      <c r="H38" s="324">
        <v>0</v>
      </c>
      <c r="I38" s="324"/>
      <c r="J38" s="335">
        <v>0</v>
      </c>
      <c r="K38"/>
      <c r="L38" s="333">
        <v>-43404138</v>
      </c>
      <c r="M38" s="324"/>
      <c r="N38" s="344">
        <f t="shared" si="0"/>
        <v>1609589756</v>
      </c>
      <c r="O38" s="523"/>
      <c r="P38" s="324"/>
      <c r="R38" s="324"/>
    </row>
    <row r="39" spans="1:18" ht="15.6" x14ac:dyDescent="0.3">
      <c r="A39" s="323" t="s">
        <v>292</v>
      </c>
      <c r="B39" s="344">
        <v>848257581</v>
      </c>
      <c r="C39" s="324"/>
      <c r="D39" s="334">
        <f>3958182+7525454</f>
        <v>11483636</v>
      </c>
      <c r="E39" s="324"/>
      <c r="F39" s="324">
        <v>0</v>
      </c>
      <c r="G39" s="324"/>
      <c r="H39" s="324">
        <v>0</v>
      </c>
      <c r="I39" s="324"/>
      <c r="J39" s="335">
        <v>0</v>
      </c>
      <c r="K39"/>
      <c r="L39" s="333">
        <v>-107447604</v>
      </c>
      <c r="M39" s="324"/>
      <c r="N39" s="344">
        <f t="shared" si="0"/>
        <v>752293613</v>
      </c>
      <c r="O39" s="523"/>
      <c r="P39" s="324"/>
      <c r="R39" s="324"/>
    </row>
    <row r="40" spans="1:18" ht="15.6" x14ac:dyDescent="0.3">
      <c r="A40" s="323" t="s">
        <v>294</v>
      </c>
      <c r="B40" s="344">
        <v>653392508</v>
      </c>
      <c r="C40" s="324"/>
      <c r="D40" s="334">
        <v>0</v>
      </c>
      <c r="E40" s="324"/>
      <c r="F40" s="324">
        <v>0</v>
      </c>
      <c r="G40" s="324"/>
      <c r="H40" s="324">
        <v>0</v>
      </c>
      <c r="I40" s="324"/>
      <c r="J40" s="335">
        <v>0</v>
      </c>
      <c r="K40"/>
      <c r="L40" s="333">
        <v>-20185698</v>
      </c>
      <c r="M40" s="324"/>
      <c r="N40" s="344">
        <f t="shared" si="0"/>
        <v>633206810</v>
      </c>
      <c r="O40" s="523"/>
      <c r="P40" s="324"/>
      <c r="R40" s="324"/>
    </row>
    <row r="41" spans="1:18" ht="15.6" x14ac:dyDescent="0.3">
      <c r="A41" s="323" t="s">
        <v>291</v>
      </c>
      <c r="B41" s="344">
        <v>97226833</v>
      </c>
      <c r="C41" s="324"/>
      <c r="D41" s="334">
        <v>8091364</v>
      </c>
      <c r="E41" s="324"/>
      <c r="F41" s="324">
        <v>0</v>
      </c>
      <c r="G41" s="324"/>
      <c r="H41" s="324">
        <v>0</v>
      </c>
      <c r="I41" s="324"/>
      <c r="J41" s="335">
        <v>0</v>
      </c>
      <c r="K41"/>
      <c r="L41" s="333">
        <v>-12535212</v>
      </c>
      <c r="M41" s="324"/>
      <c r="N41" s="344">
        <f t="shared" si="0"/>
        <v>92782985</v>
      </c>
      <c r="O41" s="523"/>
      <c r="P41" s="324"/>
      <c r="R41" s="324"/>
    </row>
    <row r="42" spans="1:18" ht="15.6" x14ac:dyDescent="0.3">
      <c r="A42" s="323" t="s">
        <v>487</v>
      </c>
      <c r="B42" s="344">
        <v>74611197</v>
      </c>
      <c r="C42" s="324"/>
      <c r="D42" s="334">
        <f>1857559+1144637</f>
        <v>3002196</v>
      </c>
      <c r="E42" s="324"/>
      <c r="F42" s="324">
        <v>0</v>
      </c>
      <c r="G42" s="324"/>
      <c r="H42" s="324">
        <v>0</v>
      </c>
      <c r="I42" s="324"/>
      <c r="J42" s="335">
        <v>0</v>
      </c>
      <c r="K42"/>
      <c r="L42" s="333">
        <v>0</v>
      </c>
      <c r="M42" s="324"/>
      <c r="N42" s="344">
        <f t="shared" si="0"/>
        <v>77613393</v>
      </c>
      <c r="O42" s="523"/>
      <c r="P42" s="324"/>
      <c r="R42" s="324"/>
    </row>
    <row r="43" spans="1:18" ht="16.2" thickBot="1" x14ac:dyDescent="0.35">
      <c r="A43" s="326" t="s">
        <v>246</v>
      </c>
      <c r="B43" s="327">
        <f>SUM(B30:B42)</f>
        <v>175988273525.76001</v>
      </c>
      <c r="C43" s="28"/>
      <c r="D43" s="337">
        <f>SUM(D30:D42)</f>
        <v>49328297239</v>
      </c>
      <c r="E43" s="28"/>
      <c r="F43" s="336">
        <v>0</v>
      </c>
      <c r="G43" s="324"/>
      <c r="H43" s="336">
        <v>0</v>
      </c>
      <c r="I43" s="324"/>
      <c r="J43" s="337">
        <f>SUM(J30:J42)</f>
        <v>0</v>
      </c>
      <c r="K43"/>
      <c r="L43" s="337">
        <f>SUM(L30:L42)</f>
        <v>-4282555776</v>
      </c>
      <c r="M43" s="28"/>
      <c r="N43" s="337">
        <f>SUM(N30:N42)</f>
        <v>221025111240.76001</v>
      </c>
      <c r="R43" s="324"/>
    </row>
    <row r="44" spans="1:18" ht="13.8" thickTop="1" x14ac:dyDescent="0.25">
      <c r="A44" s="28"/>
      <c r="B44" s="525"/>
      <c r="C44" s="614"/>
      <c r="D44" s="614"/>
      <c r="E44" s="614"/>
      <c r="F44" s="614"/>
      <c r="G44" s="614"/>
      <c r="H44" s="614"/>
      <c r="I44" s="614"/>
      <c r="J44" s="614"/>
      <c r="K44" s="614"/>
      <c r="L44" s="614"/>
      <c r="M44" s="28"/>
      <c r="N44" s="342"/>
    </row>
    <row r="45" spans="1:18" ht="13.8" x14ac:dyDescent="0.25">
      <c r="A45" s="328" t="s">
        <v>322</v>
      </c>
      <c r="B45" s="338">
        <v>0</v>
      </c>
      <c r="C45" s="328"/>
      <c r="D45" s="329">
        <v>1.2679061889648438</v>
      </c>
      <c r="E45" s="328"/>
      <c r="F45" s="328"/>
      <c r="G45" s="328"/>
      <c r="H45" s="328"/>
      <c r="I45" s="328"/>
      <c r="J45" s="328"/>
      <c r="K45" s="328"/>
      <c r="L45" s="339">
        <v>-0.17963886260986328</v>
      </c>
      <c r="M45" s="328"/>
      <c r="N45" s="345">
        <f>+N43-BG!D19-BG!D20</f>
        <v>-24133205749.23999</v>
      </c>
    </row>
    <row r="46" spans="1:18" x14ac:dyDescent="0.25">
      <c r="A46" s="28"/>
      <c r="B46" s="28"/>
      <c r="C46" s="614"/>
      <c r="D46" s="614"/>
      <c r="E46" s="614"/>
      <c r="F46" s="614"/>
      <c r="G46" s="614"/>
      <c r="H46" s="614"/>
      <c r="I46" s="614"/>
      <c r="J46" s="614"/>
      <c r="K46" s="614"/>
      <c r="L46" s="614"/>
      <c r="M46" s="28"/>
      <c r="N46" s="342"/>
    </row>
    <row r="47" spans="1:18" x14ac:dyDescent="0.25">
      <c r="A47" s="28"/>
      <c r="B47" s="28"/>
      <c r="C47" s="614"/>
      <c r="D47" s="614"/>
      <c r="E47" s="614"/>
      <c r="F47" s="614"/>
      <c r="G47" s="614"/>
      <c r="H47" s="614"/>
      <c r="I47" s="614"/>
      <c r="J47" s="614"/>
      <c r="K47" s="614"/>
      <c r="L47" s="614"/>
      <c r="M47" s="28"/>
      <c r="N47" s="342"/>
    </row>
    <row r="48" spans="1:18" ht="26.4" x14ac:dyDescent="0.3">
      <c r="A48" s="28"/>
      <c r="B48" s="343" t="s">
        <v>489</v>
      </c>
      <c r="C48" s="332"/>
      <c r="D48" s="331" t="s">
        <v>490</v>
      </c>
      <c r="E48" s="332"/>
      <c r="F48" s="331" t="s">
        <v>284</v>
      </c>
      <c r="G48" s="332"/>
      <c r="H48" s="331" t="s">
        <v>285</v>
      </c>
      <c r="I48" s="332"/>
      <c r="J48" s="331" t="s">
        <v>286</v>
      </c>
      <c r="K48"/>
      <c r="L48" s="331" t="s">
        <v>491</v>
      </c>
      <c r="M48" s="332"/>
      <c r="N48" s="343" t="s">
        <v>492</v>
      </c>
    </row>
    <row r="49" spans="1:15" ht="15.6" x14ac:dyDescent="0.3">
      <c r="A49" s="323" t="s">
        <v>288</v>
      </c>
      <c r="B49" s="344">
        <v>73137756400.815491</v>
      </c>
      <c r="C49" s="324"/>
      <c r="D49" s="324">
        <v>0</v>
      </c>
      <c r="E49" s="324"/>
      <c r="F49" s="324">
        <v>0</v>
      </c>
      <c r="G49" s="324"/>
      <c r="H49" s="324">
        <v>0</v>
      </c>
      <c r="I49" s="324"/>
      <c r="J49" s="333">
        <v>-228259383.2895813</v>
      </c>
      <c r="K49"/>
      <c r="L49" s="333">
        <v>-1736724397.5259035</v>
      </c>
      <c r="M49" s="324"/>
      <c r="N49" s="344">
        <f t="shared" ref="N49:N61" si="1">SUM(B49:L49)</f>
        <v>71172772620</v>
      </c>
    </row>
    <row r="50" spans="1:15" ht="15.6" x14ac:dyDescent="0.3">
      <c r="A50" s="323" t="s">
        <v>290</v>
      </c>
      <c r="B50" s="344">
        <v>46948587113.2994</v>
      </c>
      <c r="C50" s="324"/>
      <c r="D50" s="334">
        <v>11778318631</v>
      </c>
      <c r="E50" s="324"/>
      <c r="F50" s="324">
        <v>0</v>
      </c>
      <c r="G50" s="324"/>
      <c r="H50" s="324">
        <v>0</v>
      </c>
      <c r="I50" s="324"/>
      <c r="J50" s="335">
        <v>49634406.70059967</v>
      </c>
      <c r="K50"/>
      <c r="L50" s="333">
        <v>-5324461638</v>
      </c>
      <c r="M50" s="324"/>
      <c r="N50" s="344">
        <f t="shared" si="1"/>
        <v>53452078513</v>
      </c>
      <c r="O50" s="523"/>
    </row>
    <row r="51" spans="1:15" ht="15.6" x14ac:dyDescent="0.3">
      <c r="A51" s="323" t="s">
        <v>486</v>
      </c>
      <c r="B51" s="344">
        <v>0</v>
      </c>
      <c r="C51" s="324"/>
      <c r="D51" s="334">
        <v>15987204525</v>
      </c>
      <c r="E51" s="324"/>
      <c r="F51" s="324">
        <v>0</v>
      </c>
      <c r="G51" s="324"/>
      <c r="H51" s="324">
        <v>0</v>
      </c>
      <c r="I51" s="324"/>
      <c r="J51" s="335">
        <v>0</v>
      </c>
      <c r="K51"/>
      <c r="L51" s="333">
        <v>0</v>
      </c>
      <c r="M51" s="324"/>
      <c r="N51" s="344">
        <f t="shared" si="1"/>
        <v>15987204525</v>
      </c>
    </row>
    <row r="52" spans="1:15" ht="15.6" x14ac:dyDescent="0.3">
      <c r="A52" s="323" t="s">
        <v>287</v>
      </c>
      <c r="B52" s="344">
        <v>12008132439.0818</v>
      </c>
      <c r="C52" s="324"/>
      <c r="D52" s="334">
        <v>3399643488</v>
      </c>
      <c r="E52" s="324"/>
      <c r="F52" s="324">
        <v>0</v>
      </c>
      <c r="G52" s="324"/>
      <c r="H52" s="324">
        <v>0</v>
      </c>
      <c r="I52" s="324"/>
      <c r="J52" s="335">
        <v>0.91819953918457031</v>
      </c>
      <c r="K52"/>
      <c r="L52" s="333">
        <v>0</v>
      </c>
      <c r="M52" s="324"/>
      <c r="N52" s="344">
        <f t="shared" si="1"/>
        <v>15407775928</v>
      </c>
      <c r="O52" s="523"/>
    </row>
    <row r="53" spans="1:15" ht="15.6" x14ac:dyDescent="0.3">
      <c r="A53" s="323" t="s">
        <v>296</v>
      </c>
      <c r="B53" s="344">
        <v>549672994.75999832</v>
      </c>
      <c r="C53" s="324"/>
      <c r="D53" s="324">
        <v>10134371349</v>
      </c>
      <c r="E53" s="324"/>
      <c r="F53" s="324">
        <v>0</v>
      </c>
      <c r="G53" s="324"/>
      <c r="H53" s="324">
        <v>0</v>
      </c>
      <c r="I53" s="324"/>
      <c r="J53" s="335"/>
      <c r="K53"/>
      <c r="L53" s="333">
        <v>0</v>
      </c>
      <c r="M53" s="324"/>
      <c r="N53" s="344">
        <f t="shared" si="1"/>
        <v>10684044343.759998</v>
      </c>
    </row>
    <row r="54" spans="1:15" ht="15.6" x14ac:dyDescent="0.3">
      <c r="A54" s="323" t="s">
        <v>297</v>
      </c>
      <c r="B54" s="344">
        <v>3392334107.0599999</v>
      </c>
      <c r="C54" s="324"/>
      <c r="D54" s="324">
        <v>606452995</v>
      </c>
      <c r="E54" s="324"/>
      <c r="F54" s="324">
        <v>0</v>
      </c>
      <c r="G54" s="324"/>
      <c r="H54" s="324">
        <v>0</v>
      </c>
      <c r="I54" s="324"/>
      <c r="J54" s="333">
        <v>-140449076.05999994</v>
      </c>
      <c r="K54"/>
      <c r="L54" s="333">
        <v>0</v>
      </c>
      <c r="M54" s="324"/>
      <c r="N54" s="344">
        <f t="shared" si="1"/>
        <v>3858338026</v>
      </c>
    </row>
    <row r="55" spans="1:15" ht="15.6" x14ac:dyDescent="0.3">
      <c r="A55" s="323" t="s">
        <v>293</v>
      </c>
      <c r="B55" s="344">
        <v>2073053363.9977102</v>
      </c>
      <c r="C55" s="324"/>
      <c r="D55" s="324">
        <v>70274272</v>
      </c>
      <c r="E55" s="324"/>
      <c r="F55" s="324">
        <v>0</v>
      </c>
      <c r="G55" s="324"/>
      <c r="H55" s="324">
        <v>0</v>
      </c>
      <c r="I55" s="324"/>
      <c r="J55" s="333">
        <v>-147727060.34397531</v>
      </c>
      <c r="K55"/>
      <c r="L55" s="333">
        <v>-228259382.65373486</v>
      </c>
      <c r="M55" s="324"/>
      <c r="N55" s="344">
        <f t="shared" si="1"/>
        <v>1767341193</v>
      </c>
    </row>
    <row r="56" spans="1:15" ht="15.6" x14ac:dyDescent="0.3">
      <c r="A56" s="323" t="s">
        <v>289</v>
      </c>
      <c r="B56" s="344">
        <v>836208627.94091415</v>
      </c>
      <c r="C56" s="324"/>
      <c r="D56" s="324">
        <v>351760414</v>
      </c>
      <c r="E56" s="324"/>
      <c r="F56" s="324">
        <v>0</v>
      </c>
      <c r="G56" s="324"/>
      <c r="H56" s="324">
        <v>0</v>
      </c>
      <c r="I56" s="324"/>
      <c r="J56" s="333">
        <v>-16.940914154052734</v>
      </c>
      <c r="K56"/>
      <c r="L56" s="333">
        <v>-175498333</v>
      </c>
      <c r="M56" s="324"/>
      <c r="N56" s="344">
        <f t="shared" si="1"/>
        <v>1012470692</v>
      </c>
    </row>
    <row r="57" spans="1:15" ht="15.6" x14ac:dyDescent="0.3">
      <c r="A57" s="323" t="s">
        <v>295</v>
      </c>
      <c r="B57" s="344">
        <v>620852828.53586698</v>
      </c>
      <c r="C57" s="324"/>
      <c r="D57" s="324">
        <v>423123390</v>
      </c>
      <c r="E57" s="324"/>
      <c r="F57" s="324">
        <v>0</v>
      </c>
      <c r="G57" s="324"/>
      <c r="H57" s="324">
        <v>0</v>
      </c>
      <c r="I57" s="324"/>
      <c r="J57" s="335">
        <v>289178164.46413302</v>
      </c>
      <c r="K57"/>
      <c r="L57" s="333">
        <v>-360394817</v>
      </c>
      <c r="M57" s="324"/>
      <c r="N57" s="344">
        <f t="shared" si="1"/>
        <v>972759566</v>
      </c>
    </row>
    <row r="58" spans="1:15" ht="15.6" x14ac:dyDescent="0.3">
      <c r="A58" s="323" t="s">
        <v>292</v>
      </c>
      <c r="B58" s="344">
        <v>987629262.10923982</v>
      </c>
      <c r="C58" s="324"/>
      <c r="D58" s="324">
        <v>59939904</v>
      </c>
      <c r="E58" s="324"/>
      <c r="F58" s="324">
        <v>0</v>
      </c>
      <c r="G58" s="324"/>
      <c r="H58" s="324">
        <v>0</v>
      </c>
      <c r="I58" s="324"/>
      <c r="J58" s="335">
        <v>827143.89076018333</v>
      </c>
      <c r="K58"/>
      <c r="L58" s="333">
        <v>-200138729</v>
      </c>
      <c r="M58" s="324"/>
      <c r="N58" s="344">
        <f t="shared" si="1"/>
        <v>848257581</v>
      </c>
    </row>
    <row r="59" spans="1:15" ht="15.6" x14ac:dyDescent="0.3">
      <c r="A59" s="323" t="s">
        <v>294</v>
      </c>
      <c r="B59" s="344">
        <v>648737905.61781001</v>
      </c>
      <c r="C59" s="324"/>
      <c r="D59" s="324">
        <v>39880882</v>
      </c>
      <c r="E59" s="324"/>
      <c r="F59" s="324">
        <v>0</v>
      </c>
      <c r="G59" s="324"/>
      <c r="H59" s="324">
        <v>0</v>
      </c>
      <c r="I59" s="324"/>
      <c r="J59" s="335">
        <v>51581999.382189989</v>
      </c>
      <c r="K59"/>
      <c r="L59" s="333">
        <v>-86808279</v>
      </c>
      <c r="M59" s="324"/>
      <c r="N59" s="344">
        <f t="shared" si="1"/>
        <v>653392508</v>
      </c>
    </row>
    <row r="60" spans="1:15" ht="15.6" x14ac:dyDescent="0.3">
      <c r="A60" s="323" t="s">
        <v>291</v>
      </c>
      <c r="B60" s="344">
        <v>121569980.453509</v>
      </c>
      <c r="C60" s="324"/>
      <c r="D60" s="324">
        <v>727273</v>
      </c>
      <c r="E60" s="324"/>
      <c r="F60" s="324">
        <v>0</v>
      </c>
      <c r="G60" s="324"/>
      <c r="H60" s="324">
        <v>0</v>
      </c>
      <c r="I60" s="324"/>
      <c r="J60" s="335">
        <v>12093600.546490997</v>
      </c>
      <c r="K60"/>
      <c r="L60" s="333">
        <v>-37164021</v>
      </c>
      <c r="M60" s="324"/>
      <c r="N60" s="344">
        <f t="shared" si="1"/>
        <v>97226833</v>
      </c>
    </row>
    <row r="61" spans="1:15" ht="15.6" x14ac:dyDescent="0.3">
      <c r="A61" s="323" t="s">
        <v>487</v>
      </c>
      <c r="B61" s="344">
        <v>65647483</v>
      </c>
      <c r="C61" s="324"/>
      <c r="D61" s="324">
        <v>8963713</v>
      </c>
      <c r="E61" s="324"/>
      <c r="F61" s="324">
        <v>0</v>
      </c>
      <c r="G61" s="324"/>
      <c r="H61" s="324">
        <v>0</v>
      </c>
      <c r="I61" s="324"/>
      <c r="J61" s="335">
        <v>25070425</v>
      </c>
      <c r="K61"/>
      <c r="L61" s="333">
        <v>-25070424</v>
      </c>
      <c r="M61" s="324"/>
      <c r="N61" s="344">
        <f t="shared" si="1"/>
        <v>74611197</v>
      </c>
    </row>
    <row r="62" spans="1:15" ht="16.2" thickBot="1" x14ac:dyDescent="0.35">
      <c r="A62" s="326" t="s">
        <v>246</v>
      </c>
      <c r="B62" s="327">
        <f>SUM(B49:B61)</f>
        <v>141390182506.67175</v>
      </c>
      <c r="C62" s="28"/>
      <c r="D62" s="327">
        <f>SUM(D49:D61)</f>
        <v>42860660836</v>
      </c>
      <c r="E62" s="28"/>
      <c r="F62" s="327">
        <f>SUM(F49:F61)</f>
        <v>0</v>
      </c>
      <c r="G62" s="324"/>
      <c r="H62" s="327">
        <f>SUM(H49:H61)</f>
        <v>0</v>
      </c>
      <c r="I62" s="324"/>
      <c r="J62" s="337">
        <v>-88049795.732097298</v>
      </c>
      <c r="K62"/>
      <c r="L62" s="337">
        <f>SUM(L49:L61)</f>
        <v>-8174520021.1796389</v>
      </c>
      <c r="M62" s="28"/>
      <c r="N62" s="327">
        <f>SUM(N49:N61)</f>
        <v>175988273525.76001</v>
      </c>
    </row>
    <row r="63" spans="1:15" ht="13.8" thickTop="1" x14ac:dyDescent="0.25"/>
  </sheetData>
  <mergeCells count="25">
    <mergeCell ref="C47:D47"/>
    <mergeCell ref="E47:F47"/>
    <mergeCell ref="G47:J47"/>
    <mergeCell ref="K47:L47"/>
    <mergeCell ref="C44:D44"/>
    <mergeCell ref="E44:F44"/>
    <mergeCell ref="G44:J44"/>
    <mergeCell ref="K44:L44"/>
    <mergeCell ref="C46:D46"/>
    <mergeCell ref="E46:F46"/>
    <mergeCell ref="G46:J46"/>
    <mergeCell ref="K46:L46"/>
    <mergeCell ref="E27:F27"/>
    <mergeCell ref="G27:J27"/>
    <mergeCell ref="K27:L27"/>
    <mergeCell ref="M27:N27"/>
    <mergeCell ref="C28:D28"/>
    <mergeCell ref="E28:F28"/>
    <mergeCell ref="G28:J28"/>
    <mergeCell ref="K28:L28"/>
    <mergeCell ref="C6:D6"/>
    <mergeCell ref="C7:D7"/>
    <mergeCell ref="A1:D1"/>
    <mergeCell ref="C23:D23"/>
    <mergeCell ref="C27:D27"/>
  </mergeCells>
  <hyperlinks>
    <hyperlink ref="M1" location="Indice!D16" display="Indice" xr:uid="{D7B8C657-7A9D-5343-94F3-BC1D9498C010}"/>
    <hyperlink ref="N1" location="BG!D22" display="BG" xr:uid="{108EDE0B-B9A3-5047-84A1-4E15B165E10C}"/>
  </hyperlink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E1B33D-93DA-484E-B095-A52A1B55C345}">
  <sheetPr>
    <tabColor rgb="FF002060"/>
  </sheetPr>
  <dimension ref="A1:F16"/>
  <sheetViews>
    <sheetView showGridLines="0" zoomScaleNormal="100" workbookViewId="0">
      <selection activeCell="F1" sqref="F1"/>
    </sheetView>
  </sheetViews>
  <sheetFormatPr baseColWidth="10" defaultColWidth="11.5" defaultRowHeight="14.4" outlineLevelRow="1" x14ac:dyDescent="0.3"/>
  <cols>
    <col min="1" max="1" width="48" style="145" bestFit="1" customWidth="1"/>
    <col min="2" max="2" width="14.59765625" style="145" bestFit="1" customWidth="1"/>
    <col min="3" max="3" width="2.59765625" style="145" customWidth="1"/>
    <col min="4" max="4" width="13.8984375" style="145" customWidth="1"/>
    <col min="5" max="16384" width="11.5" style="145"/>
  </cols>
  <sheetData>
    <row r="1" spans="1:6" ht="17.399999999999999" x14ac:dyDescent="0.3">
      <c r="A1" s="612" t="s">
        <v>298</v>
      </c>
      <c r="B1" s="612"/>
      <c r="C1" s="612"/>
      <c r="D1" s="612"/>
      <c r="E1" s="49" t="s">
        <v>118</v>
      </c>
      <c r="F1" s="97" t="s">
        <v>62</v>
      </c>
    </row>
    <row r="2" spans="1:6" x14ac:dyDescent="0.3">
      <c r="A2" s="130"/>
      <c r="B2" s="130"/>
      <c r="C2" s="130"/>
      <c r="D2" s="130"/>
    </row>
    <row r="3" spans="1:6" ht="25.2" customHeight="1" x14ac:dyDescent="0.3">
      <c r="A3" s="131" t="s">
        <v>236</v>
      </c>
      <c r="B3" s="132" t="s">
        <v>1536</v>
      </c>
      <c r="C3" s="133"/>
      <c r="D3" s="132" t="s">
        <v>520</v>
      </c>
    </row>
    <row r="4" spans="1:6" x14ac:dyDescent="0.3">
      <c r="A4" s="135" t="s">
        <v>1487</v>
      </c>
      <c r="B4" s="136">
        <f>+B5+B6+B7</f>
        <v>26782277320</v>
      </c>
      <c r="C4" s="135"/>
      <c r="D4" s="136">
        <v>59477784950</v>
      </c>
    </row>
    <row r="5" spans="1:6" ht="15" hidden="1" customHeight="1" outlineLevel="1" x14ac:dyDescent="0.3">
      <c r="A5" s="162" t="s">
        <v>300</v>
      </c>
      <c r="B5" s="163">
        <f>+'Nota 23'!B20</f>
        <v>11772036080</v>
      </c>
      <c r="C5" s="162"/>
      <c r="D5" s="163">
        <v>53696342685</v>
      </c>
    </row>
    <row r="6" spans="1:6" ht="15" hidden="1" customHeight="1" outlineLevel="1" x14ac:dyDescent="0.3">
      <c r="A6" s="162" t="s">
        <v>515</v>
      </c>
      <c r="B6" s="163">
        <f>+'Nota 23'!B21</f>
        <v>14619983418</v>
      </c>
      <c r="C6" s="162"/>
      <c r="D6" s="163">
        <v>5696884803</v>
      </c>
    </row>
    <row r="7" spans="1:6" ht="15" hidden="1" customHeight="1" outlineLevel="1" x14ac:dyDescent="0.3">
      <c r="A7" s="162" t="s">
        <v>301</v>
      </c>
      <c r="B7" s="163">
        <f>'Nota 23'!B22</f>
        <v>390257822</v>
      </c>
      <c r="C7" s="162"/>
      <c r="D7" s="163">
        <v>84557462</v>
      </c>
    </row>
    <row r="8" spans="1:6" ht="15" hidden="1" customHeight="1" outlineLevel="1" x14ac:dyDescent="0.3">
      <c r="A8" s="162" t="s">
        <v>302</v>
      </c>
      <c r="B8" s="163">
        <v>0</v>
      </c>
      <c r="C8" s="162"/>
      <c r="D8" s="163">
        <v>0</v>
      </c>
    </row>
    <row r="9" spans="1:6" collapsed="1" x14ac:dyDescent="0.3">
      <c r="A9" s="147" t="s">
        <v>303</v>
      </c>
      <c r="B9" s="136">
        <f>SUMIF('BASE BALANCE'!B:B,A9,'BASE BALANCE'!E:E)</f>
        <v>1441226673</v>
      </c>
      <c r="C9" s="135"/>
      <c r="D9" s="136">
        <v>5413588183</v>
      </c>
    </row>
    <row r="10" spans="1:6" x14ac:dyDescent="0.3">
      <c r="A10" s="147" t="s">
        <v>304</v>
      </c>
      <c r="B10" s="136">
        <f>SUMIF('BASE BALANCE'!B:B,A10,'BASE BALANCE'!E:E)</f>
        <v>2621526363</v>
      </c>
      <c r="C10" s="135"/>
      <c r="D10" s="136">
        <v>2530903470</v>
      </c>
    </row>
    <row r="11" spans="1:6" x14ac:dyDescent="0.3">
      <c r="A11" s="147" t="s">
        <v>306</v>
      </c>
      <c r="B11" s="136">
        <f>SUMIF('BASE BALANCE'!B:B,A11,'BASE BALANCE'!E:E)</f>
        <v>982653287</v>
      </c>
      <c r="C11" s="135"/>
      <c r="D11" s="136">
        <v>1063145569</v>
      </c>
    </row>
    <row r="12" spans="1:6" x14ac:dyDescent="0.3">
      <c r="A12" s="147" t="s">
        <v>307</v>
      </c>
      <c r="B12" s="136">
        <f>SUMIF('BASE BALANCE'!B:B,A12,'BASE BALANCE'!E:E)</f>
        <v>194490225</v>
      </c>
      <c r="C12" s="135"/>
      <c r="D12" s="136">
        <v>96261482</v>
      </c>
    </row>
    <row r="13" spans="1:6" x14ac:dyDescent="0.3">
      <c r="A13" s="147" t="s">
        <v>305</v>
      </c>
      <c r="B13" s="136">
        <f>SUMIF('BASE BALANCE'!B:B,A13,'BASE BALANCE'!E:E)</f>
        <v>1638353009</v>
      </c>
      <c r="C13" s="135"/>
      <c r="D13" s="136">
        <v>11199874</v>
      </c>
    </row>
    <row r="14" spans="1:6" ht="15" thickBot="1" x14ac:dyDescent="0.35">
      <c r="A14" s="139" t="s">
        <v>246</v>
      </c>
      <c r="B14" s="140">
        <f>SUM(B5:B13)</f>
        <v>33660526877</v>
      </c>
      <c r="C14" s="139"/>
      <c r="D14" s="140">
        <f>SUM(D5:D13)</f>
        <v>68592883528</v>
      </c>
    </row>
    <row r="15" spans="1:6" ht="15" thickTop="1" x14ac:dyDescent="0.3">
      <c r="A15" s="141"/>
      <c r="B15" s="141"/>
      <c r="C15" s="141"/>
      <c r="D15" s="141"/>
    </row>
    <row r="16" spans="1:6" x14ac:dyDescent="0.3">
      <c r="A16" s="142" t="s">
        <v>247</v>
      </c>
      <c r="B16" s="143">
        <f>+B14-BG!D27</f>
        <v>0</v>
      </c>
      <c r="C16" s="142"/>
      <c r="D16" s="143">
        <v>0</v>
      </c>
    </row>
  </sheetData>
  <mergeCells count="1">
    <mergeCell ref="A1:D1"/>
  </mergeCells>
  <hyperlinks>
    <hyperlink ref="F1" location="BG!D27" display="BG" xr:uid="{4BD1EF4C-5C70-424F-80A0-01672E382535}"/>
    <hyperlink ref="E1" location="Indice!D16" display="Indice" xr:uid="{5A1B6BAD-2A1F-1B4D-AE35-CDA8C63DFAD1}"/>
  </hyperlink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7CDDEE-A98F-3F41-B9D1-A047FA4AC40F}">
  <sheetPr>
    <tabColor rgb="FF002060"/>
  </sheetPr>
  <dimension ref="A1:F24"/>
  <sheetViews>
    <sheetView showGridLines="0" zoomScale="110" zoomScaleNormal="110" workbookViewId="0">
      <pane xSplit="4" ySplit="3" topLeftCell="E4" activePane="bottomRight" state="frozen"/>
      <selection pane="topRight" activeCell="E1" sqref="E1"/>
      <selection pane="bottomLeft" activeCell="A4" sqref="A4"/>
      <selection pane="bottomRight" activeCell="F1" sqref="F1"/>
    </sheetView>
  </sheetViews>
  <sheetFormatPr baseColWidth="10" defaultColWidth="11.5" defaultRowHeight="14.4" x14ac:dyDescent="0.3"/>
  <cols>
    <col min="1" max="1" width="48" style="145" bestFit="1" customWidth="1"/>
    <col min="2" max="2" width="13.8984375" style="145" customWidth="1"/>
    <col min="3" max="3" width="2.59765625" style="145" customWidth="1"/>
    <col min="4" max="4" width="13.8984375" style="145" customWidth="1"/>
    <col min="5" max="16384" width="11.5" style="145"/>
  </cols>
  <sheetData>
    <row r="1" spans="1:6" ht="17.399999999999999" x14ac:dyDescent="0.3">
      <c r="A1" s="612" t="s">
        <v>308</v>
      </c>
      <c r="B1" s="612"/>
      <c r="C1" s="612"/>
      <c r="D1" s="612"/>
      <c r="E1" s="49" t="s">
        <v>118</v>
      </c>
      <c r="F1" s="97" t="s">
        <v>62</v>
      </c>
    </row>
    <row r="2" spans="1:6" x14ac:dyDescent="0.3">
      <c r="A2" s="130"/>
      <c r="B2" s="130"/>
      <c r="C2" s="130"/>
      <c r="D2" s="130"/>
    </row>
    <row r="3" spans="1:6" x14ac:dyDescent="0.3">
      <c r="A3" s="346" t="s">
        <v>236</v>
      </c>
      <c r="B3" s="132" t="s">
        <v>1534</v>
      </c>
      <c r="C3" s="348"/>
      <c r="D3" s="347" t="s">
        <v>478</v>
      </c>
    </row>
    <row r="4" spans="1:6" x14ac:dyDescent="0.3">
      <c r="A4" s="349" t="s">
        <v>498</v>
      </c>
      <c r="B4" s="136">
        <f>SUMIF('BASE BALANCE'!B:B,A4,'BASE BALANCE'!E:E)</f>
        <v>15206088101</v>
      </c>
      <c r="C4" s="351"/>
      <c r="D4" s="350">
        <v>16378207364</v>
      </c>
    </row>
    <row r="5" spans="1:6" x14ac:dyDescent="0.3">
      <c r="A5" s="349" t="s">
        <v>1545</v>
      </c>
      <c r="B5" s="136">
        <f>SUMIF('BASE BALANCE'!B:B,A5,'BASE BALANCE'!E:E)</f>
        <v>32882265000</v>
      </c>
      <c r="C5" s="351"/>
      <c r="D5" s="350">
        <v>0</v>
      </c>
    </row>
    <row r="6" spans="1:6" x14ac:dyDescent="0.3">
      <c r="A6" s="352" t="s">
        <v>493</v>
      </c>
      <c r="B6" s="136">
        <f>SUMIF('BASE BALANCE'!B:B,A6,'BASE BALANCE'!E:E)</f>
        <v>3908137128.5328999</v>
      </c>
      <c r="C6" s="351"/>
      <c r="D6" s="350">
        <v>4593794996</v>
      </c>
    </row>
    <row r="7" spans="1:6" x14ac:dyDescent="0.3">
      <c r="A7" s="352" t="s">
        <v>1486</v>
      </c>
      <c r="B7" s="136">
        <f>SUMIF('BASE BALANCE'!B:B,A7,'BASE BALANCE'!E:E)</f>
        <v>10820449900.30233</v>
      </c>
      <c r="C7" s="351"/>
      <c r="D7" s="350">
        <v>0</v>
      </c>
    </row>
    <row r="8" spans="1:6" x14ac:dyDescent="0.3">
      <c r="A8" s="352" t="s">
        <v>494</v>
      </c>
      <c r="B8" s="353">
        <f>-B7</f>
        <v>-10820449900.30233</v>
      </c>
      <c r="C8" s="351"/>
      <c r="D8" s="353">
        <v>-2259674839</v>
      </c>
    </row>
    <row r="9" spans="1:6" x14ac:dyDescent="0.3">
      <c r="A9" s="352" t="s">
        <v>495</v>
      </c>
      <c r="B9" s="353">
        <f>-B6</f>
        <v>-3908137128.5328999</v>
      </c>
      <c r="C9" s="351"/>
      <c r="D9" s="353">
        <v>-4565113164</v>
      </c>
    </row>
    <row r="10" spans="1:6" ht="15" thickBot="1" x14ac:dyDescent="0.35">
      <c r="A10" s="139" t="s">
        <v>246</v>
      </c>
      <c r="B10" s="354">
        <f>SUM(B4:B9)</f>
        <v>48088353101</v>
      </c>
      <c r="C10" s="139"/>
      <c r="D10" s="354">
        <f>SUM(D4:D9)</f>
        <v>14147214357</v>
      </c>
    </row>
    <row r="11" spans="1:6" ht="15" thickTop="1" x14ac:dyDescent="0.3">
      <c r="A11" s="139"/>
      <c r="B11" s="355"/>
      <c r="C11" s="139"/>
      <c r="D11" s="355"/>
    </row>
    <row r="12" spans="1:6" x14ac:dyDescent="0.3">
      <c r="A12" s="356"/>
      <c r="B12" s="356"/>
      <c r="C12" s="356"/>
      <c r="D12" s="356"/>
    </row>
    <row r="13" spans="1:6" x14ac:dyDescent="0.3">
      <c r="A13" s="348" t="s">
        <v>255</v>
      </c>
      <c r="B13" s="356"/>
      <c r="C13" s="356"/>
      <c r="D13" s="356"/>
    </row>
    <row r="14" spans="1:6" x14ac:dyDescent="0.3">
      <c r="A14" s="349" t="s">
        <v>500</v>
      </c>
      <c r="B14" s="136">
        <f>SUMIF('BASE BALANCE'!B:B,A14,'BASE BALANCE'!E:E)</f>
        <v>0</v>
      </c>
      <c r="C14" s="350"/>
      <c r="D14" s="350">
        <v>33028290000</v>
      </c>
    </row>
    <row r="15" spans="1:6" x14ac:dyDescent="0.3">
      <c r="A15" s="349" t="s">
        <v>499</v>
      </c>
      <c r="B15" s="136">
        <f>SUMIF('BASE BALANCE'!B:B,A15,'BASE BALANCE'!E:E)</f>
        <v>27488212221</v>
      </c>
      <c r="C15" s="350"/>
      <c r="D15" s="350">
        <v>29993400000</v>
      </c>
    </row>
    <row r="16" spans="1:6" x14ac:dyDescent="0.3">
      <c r="A16" s="349" t="s">
        <v>496</v>
      </c>
      <c r="B16" s="136">
        <f>SUMIF('BASE BALANCE'!B:B,A16,'BASE BALANCE'!E:E)</f>
        <v>56000000000</v>
      </c>
      <c r="C16" s="350"/>
      <c r="D16" s="350">
        <v>17000000000</v>
      </c>
    </row>
    <row r="17" spans="1:4" x14ac:dyDescent="0.3">
      <c r="A17" s="349" t="s">
        <v>497</v>
      </c>
      <c r="B17" s="136">
        <f>SUMIF('BASE BALANCE'!B:B,A17,'BASE BALANCE'!E:E)</f>
        <v>65764530001</v>
      </c>
      <c r="C17" s="350"/>
      <c r="D17" s="350">
        <v>14679240000</v>
      </c>
    </row>
    <row r="18" spans="1:4" x14ac:dyDescent="0.3">
      <c r="A18" s="349" t="s">
        <v>501</v>
      </c>
      <c r="B18" s="136">
        <f>SUMIF('BASE BALANCE'!B:B,A18,'BASE BALANCE'!E:E)</f>
        <v>18044564954.164768</v>
      </c>
      <c r="C18" s="350"/>
      <c r="D18" s="350">
        <v>7623180367</v>
      </c>
    </row>
    <row r="19" spans="1:4" x14ac:dyDescent="0.3">
      <c r="A19" s="352" t="s">
        <v>502</v>
      </c>
      <c r="B19" s="136">
        <f>SUMIF('BASE BALANCE'!B:B,A19,'BASE BALANCE'!E:E)</f>
        <v>1693079242</v>
      </c>
      <c r="C19" s="350"/>
      <c r="D19" s="353">
        <v>4448168113</v>
      </c>
    </row>
    <row r="20" spans="1:4" x14ac:dyDescent="0.3">
      <c r="A20" s="352" t="s">
        <v>503</v>
      </c>
      <c r="B20" s="353">
        <v>-18568321247.166901</v>
      </c>
      <c r="C20" s="350"/>
      <c r="D20" s="353">
        <v>-5167174574</v>
      </c>
    </row>
    <row r="21" spans="1:4" x14ac:dyDescent="0.3">
      <c r="A21" s="352" t="s">
        <v>504</v>
      </c>
      <c r="B21" s="353">
        <f>-B19</f>
        <v>-1693079242</v>
      </c>
      <c r="C21" s="350"/>
      <c r="D21" s="353">
        <v>-4426312829</v>
      </c>
    </row>
    <row r="22" spans="1:4" ht="15" thickBot="1" x14ac:dyDescent="0.35">
      <c r="A22" s="139" t="s">
        <v>273</v>
      </c>
      <c r="B22" s="354">
        <f>SUM(B14:B21)</f>
        <v>148728985928.99786</v>
      </c>
      <c r="C22" s="139"/>
      <c r="D22" s="354">
        <v>97178791077</v>
      </c>
    </row>
    <row r="23" spans="1:4" ht="15" thickTop="1" x14ac:dyDescent="0.3">
      <c r="A23" s="356"/>
      <c r="B23" s="356"/>
      <c r="C23" s="356"/>
      <c r="D23" s="356"/>
    </row>
    <row r="24" spans="1:4" x14ac:dyDescent="0.3">
      <c r="A24" s="328" t="s">
        <v>247</v>
      </c>
      <c r="B24" s="357">
        <f>+B10+B22-BG!D28-BG!D33</f>
        <v>0</v>
      </c>
      <c r="C24" s="328"/>
      <c r="D24" s="357">
        <f>+D10+D22-BG!F28-BG!F33</f>
        <v>0</v>
      </c>
    </row>
  </sheetData>
  <mergeCells count="1">
    <mergeCell ref="A1:D1"/>
  </mergeCells>
  <hyperlinks>
    <hyperlink ref="F1" location="BG!D28" display="BG" xr:uid="{F1837984-FE02-F44A-B047-EA9F80AC0D10}"/>
    <hyperlink ref="E1" location="Indice!D19" display="Indice" xr:uid="{2C6FE453-942C-BD42-A38D-5A52F0BACA2C}"/>
  </hyperlink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9BFD39-8FE9-5542-81B0-6998CDD5D87E}">
  <sheetPr>
    <tabColor rgb="FF002060"/>
  </sheetPr>
  <dimension ref="A1:F16"/>
  <sheetViews>
    <sheetView showGridLines="0" zoomScaleNormal="100" workbookViewId="0">
      <selection activeCell="F1" sqref="F1"/>
    </sheetView>
  </sheetViews>
  <sheetFormatPr baseColWidth="10" defaultColWidth="11.5" defaultRowHeight="14.4" x14ac:dyDescent="0.3"/>
  <cols>
    <col min="1" max="1" width="48" style="145" bestFit="1" customWidth="1"/>
    <col min="2" max="2" width="13.8984375" style="145" customWidth="1"/>
    <col min="3" max="3" width="2.59765625" style="145" customWidth="1"/>
    <col min="4" max="4" width="13.8984375" style="145" customWidth="1"/>
    <col min="5" max="16384" width="11.5" style="145"/>
  </cols>
  <sheetData>
    <row r="1" spans="1:6" ht="17.399999999999999" x14ac:dyDescent="0.3">
      <c r="A1" s="612" t="s">
        <v>309</v>
      </c>
      <c r="B1" s="612"/>
      <c r="C1" s="612"/>
      <c r="D1" s="612"/>
      <c r="E1" s="49" t="s">
        <v>118</v>
      </c>
      <c r="F1" s="164" t="s">
        <v>62</v>
      </c>
    </row>
    <row r="2" spans="1:6" x14ac:dyDescent="0.3">
      <c r="A2" s="130"/>
      <c r="B2" s="130"/>
      <c r="C2" s="130"/>
      <c r="D2" s="130"/>
    </row>
    <row r="3" spans="1:6" x14ac:dyDescent="0.3">
      <c r="A3" s="133" t="s">
        <v>236</v>
      </c>
      <c r="B3" s="132" t="s">
        <v>1534</v>
      </c>
      <c r="C3" s="133"/>
      <c r="D3" s="132" t="s">
        <v>520</v>
      </c>
    </row>
    <row r="4" spans="1:6" x14ac:dyDescent="0.3">
      <c r="A4" s="165" t="s">
        <v>310</v>
      </c>
      <c r="B4" s="136">
        <f>SUMIF('BASE BALANCE'!B:B,A4,'BASE BALANCE'!E:E)</f>
        <v>3024992436</v>
      </c>
      <c r="C4" s="135"/>
      <c r="D4" s="136">
        <v>1534060060</v>
      </c>
    </row>
    <row r="5" spans="1:6" x14ac:dyDescent="0.3">
      <c r="A5" s="147" t="s">
        <v>313</v>
      </c>
      <c r="B5" s="136">
        <f>SUMIF('BASE BALANCE'!B:B,A5,'BASE BALANCE'!E:E)</f>
        <v>0</v>
      </c>
      <c r="C5" s="147"/>
      <c r="D5" s="148">
        <v>355787644</v>
      </c>
    </row>
    <row r="6" spans="1:6" x14ac:dyDescent="0.3">
      <c r="A6" s="165" t="s">
        <v>311</v>
      </c>
      <c r="B6" s="136">
        <f>SUMIF('BASE BALANCE'!B:B,A6,'BASE BALANCE'!E:E)</f>
        <v>142431571</v>
      </c>
      <c r="C6" s="147"/>
      <c r="D6" s="148">
        <v>178155045</v>
      </c>
    </row>
    <row r="7" spans="1:6" x14ac:dyDescent="0.3">
      <c r="A7" s="147" t="s">
        <v>314</v>
      </c>
      <c r="B7" s="136">
        <f>SUMIF('BASE BALANCE'!B:B,A7,'BASE BALANCE'!E:E)</f>
        <v>10314492</v>
      </c>
      <c r="C7" s="135"/>
      <c r="D7" s="136">
        <v>54787055</v>
      </c>
    </row>
    <row r="8" spans="1:6" x14ac:dyDescent="0.3">
      <c r="A8" s="147" t="s">
        <v>312</v>
      </c>
      <c r="B8" s="136">
        <f>SUMIF('BASE BALANCE'!B:B,A8,'BASE BALANCE'!E:E)</f>
        <v>321698174.59997559</v>
      </c>
      <c r="C8" s="135"/>
      <c r="D8" s="405" t="s">
        <v>524</v>
      </c>
    </row>
    <row r="9" spans="1:6" x14ac:dyDescent="0.3">
      <c r="A9" s="147" t="s">
        <v>315</v>
      </c>
      <c r="B9" s="136">
        <f>SUMIF('BASE BALANCE'!B:B,A9,'BASE BALANCE'!E:E)</f>
        <v>630438796</v>
      </c>
      <c r="C9" s="135"/>
      <c r="D9" s="136">
        <v>103462611</v>
      </c>
    </row>
    <row r="10" spans="1:6" ht="15" thickBot="1" x14ac:dyDescent="0.35">
      <c r="A10" s="139" t="s">
        <v>246</v>
      </c>
      <c r="B10" s="140">
        <f>SUM(B4:B9)</f>
        <v>4129875469.5999756</v>
      </c>
      <c r="C10" s="139"/>
      <c r="D10" s="140">
        <f>SUM(D4:D9)</f>
        <v>2226252415</v>
      </c>
    </row>
    <row r="11" spans="1:6" ht="15" thickTop="1" x14ac:dyDescent="0.3">
      <c r="A11" s="141"/>
      <c r="B11" s="141"/>
      <c r="C11" s="141"/>
      <c r="D11" s="141"/>
    </row>
    <row r="12" spans="1:6" x14ac:dyDescent="0.3">
      <c r="A12" s="133" t="s">
        <v>255</v>
      </c>
      <c r="B12" s="141"/>
      <c r="C12" s="141"/>
      <c r="D12" s="141"/>
    </row>
    <row r="13" spans="1:6" x14ac:dyDescent="0.3">
      <c r="A13" s="28" t="s">
        <v>525</v>
      </c>
      <c r="B13" s="136">
        <f>SUMIF('BASE BALANCE'!B:B,A13,'BASE BALANCE'!E:E)</f>
        <v>97794504</v>
      </c>
      <c r="C13" s="136"/>
      <c r="D13" s="136">
        <v>97794504</v>
      </c>
    </row>
    <row r="14" spans="1:6" ht="15" thickBot="1" x14ac:dyDescent="0.35">
      <c r="A14" s="139" t="s">
        <v>273</v>
      </c>
      <c r="B14" s="140">
        <v>97794504</v>
      </c>
      <c r="C14" s="139"/>
      <c r="D14" s="140">
        <v>97794504</v>
      </c>
    </row>
    <row r="15" spans="1:6" ht="15" thickTop="1" x14ac:dyDescent="0.3">
      <c r="A15" s="141"/>
      <c r="B15" s="141"/>
      <c r="C15" s="141"/>
      <c r="D15" s="141"/>
    </row>
    <row r="16" spans="1:6" x14ac:dyDescent="0.3">
      <c r="A16" s="142" t="s">
        <v>247</v>
      </c>
      <c r="B16" s="143">
        <f>B10+B14-BG!D29-BG!D34</f>
        <v>0</v>
      </c>
      <c r="C16" s="156"/>
      <c r="D16" s="143">
        <v>0</v>
      </c>
    </row>
  </sheetData>
  <mergeCells count="1">
    <mergeCell ref="A1:D1"/>
  </mergeCells>
  <hyperlinks>
    <hyperlink ref="F1" location="BG!A1" display="BG" xr:uid="{D9B561F3-E15E-CF48-AC30-7CA2288AE99A}"/>
    <hyperlink ref="E1" location="Indice!D12" display="Indice" xr:uid="{B4710B3E-CF16-7744-ADD8-E068B53EC120}"/>
  </hyperlink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C9357A-2CAF-AD41-9448-54B2EA39C033}">
  <sheetPr>
    <tabColor rgb="FF002060"/>
  </sheetPr>
  <dimension ref="A1:J24"/>
  <sheetViews>
    <sheetView showGridLines="0" zoomScale="120" zoomScaleNormal="120" workbookViewId="0">
      <selection activeCell="C23" sqref="C23"/>
    </sheetView>
  </sheetViews>
  <sheetFormatPr baseColWidth="10" defaultColWidth="10.8984375" defaultRowHeight="14.4" outlineLevelRow="1" x14ac:dyDescent="0.3"/>
  <cols>
    <col min="1" max="1" width="39.8984375" style="166" bestFit="1" customWidth="1"/>
    <col min="2" max="2" width="15.3984375" style="166" bestFit="1" customWidth="1"/>
    <col min="3" max="3" width="23" style="166" customWidth="1"/>
    <col min="4" max="4" width="2.3984375" style="166" customWidth="1"/>
    <col min="5" max="5" width="2.3984375" style="166" hidden="1" customWidth="1"/>
    <col min="6" max="6" width="9" style="166" hidden="1" customWidth="1"/>
    <col min="7" max="7" width="23" style="166" hidden="1" customWidth="1"/>
    <col min="8" max="8" width="10.8984375" style="166"/>
    <col min="9" max="10" width="13.09765625" style="166" bestFit="1" customWidth="1"/>
    <col min="11" max="16384" width="10.8984375" style="166"/>
  </cols>
  <sheetData>
    <row r="1" spans="1:9" ht="17.399999999999999" x14ac:dyDescent="0.3">
      <c r="A1" s="617" t="s">
        <v>316</v>
      </c>
      <c r="B1" s="617"/>
      <c r="C1" s="617"/>
      <c r="D1" s="617"/>
      <c r="E1" s="617"/>
      <c r="F1" s="617"/>
      <c r="G1" s="617"/>
      <c r="H1" s="49" t="s">
        <v>118</v>
      </c>
      <c r="I1" s="97" t="s">
        <v>62</v>
      </c>
    </row>
    <row r="3" spans="1:9" outlineLevel="1" x14ac:dyDescent="0.3">
      <c r="A3" s="167"/>
      <c r="B3" s="616" t="s">
        <v>1544</v>
      </c>
      <c r="C3" s="616"/>
      <c r="D3" s="107"/>
      <c r="E3" s="167"/>
      <c r="F3" s="616" t="s">
        <v>204</v>
      </c>
      <c r="G3" s="616"/>
    </row>
    <row r="4" spans="1:9" outlineLevel="1" x14ac:dyDescent="0.3">
      <c r="A4" s="168" t="s">
        <v>31</v>
      </c>
      <c r="B4" s="615" t="s">
        <v>317</v>
      </c>
      <c r="C4" s="615"/>
      <c r="D4" s="169"/>
      <c r="E4" s="168"/>
      <c r="F4" s="615" t="s">
        <v>317</v>
      </c>
      <c r="G4" s="615"/>
    </row>
    <row r="5" spans="1:9" outlineLevel="1" x14ac:dyDescent="0.3">
      <c r="A5" s="170" t="s">
        <v>318</v>
      </c>
      <c r="B5" s="171">
        <v>0.83</v>
      </c>
      <c r="C5" s="172">
        <v>165600000000</v>
      </c>
      <c r="D5" s="172"/>
      <c r="E5" s="172"/>
      <c r="F5" s="171">
        <v>0.83</v>
      </c>
      <c r="G5" s="172">
        <v>165600000000</v>
      </c>
    </row>
    <row r="6" spans="1:9" outlineLevel="1" x14ac:dyDescent="0.3">
      <c r="A6" s="170" t="s">
        <v>319</v>
      </c>
      <c r="B6" s="171">
        <v>0.17</v>
      </c>
      <c r="C6" s="172">
        <v>34400000000</v>
      </c>
      <c r="D6" s="172"/>
      <c r="E6" s="172"/>
      <c r="F6" s="171">
        <v>0.17</v>
      </c>
      <c r="G6" s="172">
        <v>34400000000</v>
      </c>
    </row>
    <row r="7" spans="1:9" ht="15" outlineLevel="1" thickBot="1" x14ac:dyDescent="0.35">
      <c r="A7" s="168" t="s">
        <v>246</v>
      </c>
      <c r="B7" s="173">
        <v>1</v>
      </c>
      <c r="C7" s="174">
        <v>200000000000</v>
      </c>
      <c r="D7" s="168"/>
      <c r="E7" s="168"/>
      <c r="F7" s="173">
        <v>1</v>
      </c>
      <c r="G7" s="174">
        <v>200000000000</v>
      </c>
    </row>
    <row r="8" spans="1:9" ht="15" thickTop="1" x14ac:dyDescent="0.3"/>
    <row r="9" spans="1:9" ht="14.4" customHeight="1" x14ac:dyDescent="0.3">
      <c r="A9" s="167"/>
      <c r="B9" s="616" t="s">
        <v>1544</v>
      </c>
      <c r="C9" s="616"/>
      <c r="D9" s="107"/>
      <c r="E9" s="167"/>
      <c r="F9" s="616" t="s">
        <v>204</v>
      </c>
      <c r="G9" s="616"/>
    </row>
    <row r="10" spans="1:9" x14ac:dyDescent="0.3">
      <c r="A10" s="168" t="s">
        <v>31</v>
      </c>
      <c r="B10" s="615" t="s">
        <v>320</v>
      </c>
      <c r="C10" s="615"/>
      <c r="D10" s="169"/>
      <c r="E10" s="168"/>
      <c r="F10" s="615" t="s">
        <v>320</v>
      </c>
      <c r="G10" s="615"/>
    </row>
    <row r="11" spans="1:9" x14ac:dyDescent="0.3">
      <c r="A11" s="170" t="s">
        <v>318</v>
      </c>
      <c r="B11" s="171">
        <v>0.83</v>
      </c>
      <c r="C11" s="172">
        <v>159503603464.45084</v>
      </c>
      <c r="D11" s="172"/>
      <c r="E11" s="172"/>
      <c r="F11" s="171">
        <v>0.83</v>
      </c>
      <c r="G11" s="172">
        <v>159503603464.45084</v>
      </c>
    </row>
    <row r="12" spans="1:9" x14ac:dyDescent="0.3">
      <c r="A12" s="170" t="s">
        <v>319</v>
      </c>
      <c r="B12" s="171">
        <v>0.17</v>
      </c>
      <c r="C12" s="172">
        <v>32669412757.779087</v>
      </c>
      <c r="D12" s="172"/>
      <c r="E12" s="172"/>
      <c r="F12" s="171">
        <v>0.17</v>
      </c>
      <c r="G12" s="172">
        <v>32669412757.779087</v>
      </c>
    </row>
    <row r="13" spans="1:9" ht="15" thickBot="1" x14ac:dyDescent="0.35">
      <c r="A13" s="168" t="s">
        <v>246</v>
      </c>
      <c r="B13" s="173">
        <v>1</v>
      </c>
      <c r="C13" s="174">
        <v>192173016222.22992</v>
      </c>
      <c r="D13" s="168"/>
      <c r="E13" s="168"/>
      <c r="F13" s="173">
        <v>1</v>
      </c>
      <c r="G13" s="174">
        <v>192173016222.22992</v>
      </c>
    </row>
    <row r="14" spans="1:9" ht="15" thickTop="1" x14ac:dyDescent="0.3">
      <c r="A14" s="168"/>
      <c r="B14" s="175"/>
      <c r="C14" s="168"/>
      <c r="D14" s="168"/>
      <c r="E14" s="168"/>
      <c r="F14" s="175"/>
      <c r="G14" s="168"/>
    </row>
    <row r="15" spans="1:9" outlineLevel="1" x14ac:dyDescent="0.3">
      <c r="A15" s="168"/>
      <c r="B15" s="175"/>
      <c r="C15" s="168"/>
      <c r="D15" s="168"/>
      <c r="E15" s="168"/>
      <c r="F15" s="175"/>
      <c r="G15" s="168"/>
    </row>
    <row r="16" spans="1:9" ht="14.4" customHeight="1" outlineLevel="1" x14ac:dyDescent="0.3">
      <c r="A16" s="167"/>
      <c r="B16" s="616" t="s">
        <v>1544</v>
      </c>
      <c r="C16" s="616"/>
      <c r="D16" s="107"/>
      <c r="E16" s="167"/>
      <c r="F16" s="616" t="s">
        <v>204</v>
      </c>
      <c r="G16" s="616"/>
    </row>
    <row r="17" spans="1:10" outlineLevel="1" x14ac:dyDescent="0.3">
      <c r="A17" s="168" t="s">
        <v>31</v>
      </c>
      <c r="B17" s="615" t="s">
        <v>321</v>
      </c>
      <c r="C17" s="615"/>
      <c r="D17" s="169"/>
      <c r="E17" s="168"/>
      <c r="F17" s="615" t="s">
        <v>321</v>
      </c>
      <c r="G17" s="615"/>
      <c r="I17" s="176"/>
    </row>
    <row r="18" spans="1:10" outlineLevel="1" x14ac:dyDescent="0.3">
      <c r="A18" s="170" t="s">
        <v>318</v>
      </c>
      <c r="B18" s="171">
        <v>0.83</v>
      </c>
      <c r="C18" s="172">
        <v>6496396535.7399998</v>
      </c>
      <c r="D18" s="172"/>
      <c r="E18" s="172"/>
      <c r="F18" s="171">
        <v>0.83</v>
      </c>
      <c r="G18" s="172">
        <v>6496396535.7399998</v>
      </c>
      <c r="J18" s="176"/>
    </row>
    <row r="19" spans="1:10" outlineLevel="1" x14ac:dyDescent="0.3">
      <c r="A19" s="170" t="s">
        <v>319</v>
      </c>
      <c r="B19" s="171">
        <v>0.17</v>
      </c>
      <c r="C19" s="172">
        <v>1330587242.26</v>
      </c>
      <c r="D19" s="172"/>
      <c r="E19" s="172"/>
      <c r="F19" s="171">
        <v>0.17</v>
      </c>
      <c r="G19" s="172">
        <v>1330587242.26</v>
      </c>
    </row>
    <row r="20" spans="1:10" ht="15" outlineLevel="1" thickBot="1" x14ac:dyDescent="0.35">
      <c r="A20" s="168" t="s">
        <v>246</v>
      </c>
      <c r="B20" s="173">
        <v>1</v>
      </c>
      <c r="C20" s="177">
        <v>7826983778</v>
      </c>
      <c r="D20" s="168"/>
      <c r="E20" s="168"/>
      <c r="F20" s="173">
        <v>1</v>
      </c>
      <c r="G20" s="177">
        <v>7826983778</v>
      </c>
    </row>
    <row r="21" spans="1:10" ht="15" thickTop="1" x14ac:dyDescent="0.3">
      <c r="A21" s="168"/>
      <c r="B21" s="175"/>
      <c r="C21" s="168"/>
      <c r="D21" s="168"/>
      <c r="E21" s="168"/>
      <c r="F21" s="175"/>
      <c r="G21" s="168"/>
    </row>
    <row r="22" spans="1:10" x14ac:dyDescent="0.3">
      <c r="A22" s="178" t="s">
        <v>322</v>
      </c>
      <c r="B22" s="179"/>
      <c r="C22" s="180"/>
      <c r="D22" s="180"/>
      <c r="E22" s="181"/>
      <c r="F22" s="179"/>
      <c r="G22" s="180"/>
    </row>
    <row r="24" spans="1:10" x14ac:dyDescent="0.3">
      <c r="C24" s="176"/>
    </row>
  </sheetData>
  <mergeCells count="13">
    <mergeCell ref="B9:C9"/>
    <mergeCell ref="F9:G9"/>
    <mergeCell ref="A1:G1"/>
    <mergeCell ref="B3:C3"/>
    <mergeCell ref="F3:G3"/>
    <mergeCell ref="B4:C4"/>
    <mergeCell ref="F4:G4"/>
    <mergeCell ref="B10:C10"/>
    <mergeCell ref="F10:G10"/>
    <mergeCell ref="B16:C16"/>
    <mergeCell ref="F16:G16"/>
    <mergeCell ref="B17:C17"/>
    <mergeCell ref="F17:G17"/>
  </mergeCells>
  <hyperlinks>
    <hyperlink ref="I1" location="BG!B40" display="BG" xr:uid="{C33C5389-3647-B24E-8C73-30CE54986AE5}"/>
    <hyperlink ref="H1" location="Indice!D25" display="Indice" xr:uid="{06A0D786-43FE-A946-803D-A89918016EE0}"/>
  </hyperlink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EC0F81-2D42-A747-BC75-B37A8973EF91}">
  <sheetPr>
    <tabColor rgb="FF002060"/>
  </sheetPr>
  <dimension ref="A1:O16"/>
  <sheetViews>
    <sheetView showGridLines="0" zoomScale="90" zoomScaleNormal="90" workbookViewId="0">
      <selection activeCell="L12" sqref="L12"/>
    </sheetView>
  </sheetViews>
  <sheetFormatPr baseColWidth="10" defaultColWidth="11" defaultRowHeight="13.8" x14ac:dyDescent="0.25"/>
  <cols>
    <col min="1" max="1" width="21.59765625" style="182" customWidth="1"/>
    <col min="2" max="2" width="16.09765625" style="182" customWidth="1"/>
    <col min="3" max="3" width="14.59765625" style="182" customWidth="1"/>
    <col min="4" max="8" width="11" style="182"/>
    <col min="9" max="9" width="4.09765625" style="182" customWidth="1"/>
    <col min="10" max="15" width="11" style="182"/>
    <col min="16" max="16384" width="11" style="48"/>
  </cols>
  <sheetData>
    <row r="1" spans="1:13" s="182" customFormat="1" ht="14.4" x14ac:dyDescent="0.3">
      <c r="A1" s="182" t="s">
        <v>42</v>
      </c>
      <c r="F1" s="183" t="s">
        <v>62</v>
      </c>
    </row>
    <row r="3" spans="1:13" s="182" customFormat="1" x14ac:dyDescent="0.25"/>
    <row r="4" spans="1:13" s="182" customFormat="1" x14ac:dyDescent="0.25">
      <c r="A4" s="618" t="s">
        <v>323</v>
      </c>
      <c r="B4" s="618"/>
      <c r="C4" s="618"/>
      <c r="D4" s="618"/>
      <c r="E4" s="618"/>
      <c r="F4" s="618"/>
      <c r="G4" s="618"/>
      <c r="H4" s="618"/>
      <c r="I4" s="184"/>
      <c r="L4" s="184"/>
      <c r="M4" s="184"/>
    </row>
    <row r="5" spans="1:13" s="182" customFormat="1" x14ac:dyDescent="0.25"/>
    <row r="6" spans="1:13" s="182" customFormat="1" x14ac:dyDescent="0.25">
      <c r="B6" s="619" t="s">
        <v>324</v>
      </c>
      <c r="C6" s="619"/>
    </row>
    <row r="7" spans="1:13" s="182" customFormat="1" x14ac:dyDescent="0.25">
      <c r="B7" s="185">
        <v>2023</v>
      </c>
      <c r="C7" s="185">
        <v>2022</v>
      </c>
    </row>
    <row r="8" spans="1:13" s="182" customFormat="1" ht="15.6" x14ac:dyDescent="0.3">
      <c r="A8" s="186" t="s">
        <v>325</v>
      </c>
      <c r="B8" s="187">
        <v>11423641075</v>
      </c>
      <c r="C8" s="187">
        <v>11423641075</v>
      </c>
    </row>
    <row r="9" spans="1:13" s="182" customFormat="1" ht="74.099999999999994" customHeight="1" x14ac:dyDescent="0.25">
      <c r="A9" s="620" t="s">
        <v>326</v>
      </c>
      <c r="B9" s="620"/>
      <c r="C9" s="620"/>
      <c r="D9" s="620"/>
      <c r="E9" s="620"/>
      <c r="F9" s="620"/>
      <c r="G9" s="620"/>
      <c r="H9" s="620"/>
    </row>
    <row r="10" spans="1:13" s="182" customFormat="1" x14ac:dyDescent="0.25">
      <c r="A10" s="188"/>
      <c r="B10" s="189"/>
      <c r="C10" s="189"/>
    </row>
    <row r="11" spans="1:13" s="182" customFormat="1" ht="15.6" x14ac:dyDescent="0.3">
      <c r="A11" s="186" t="s">
        <v>327</v>
      </c>
      <c r="B11" s="187">
        <f>+BG!D44</f>
        <v>2720132014</v>
      </c>
      <c r="C11" s="187">
        <v>2720132014</v>
      </c>
    </row>
    <row r="12" spans="1:13" s="182" customFormat="1" ht="63.9" customHeight="1" x14ac:dyDescent="0.25">
      <c r="A12" s="621" t="s">
        <v>328</v>
      </c>
      <c r="B12" s="621"/>
      <c r="C12" s="621"/>
      <c r="D12" s="621"/>
      <c r="E12" s="621"/>
      <c r="F12" s="621"/>
      <c r="G12" s="621"/>
      <c r="H12" s="621"/>
    </row>
    <row r="13" spans="1:13" s="182" customFormat="1" x14ac:dyDescent="0.25">
      <c r="A13" s="188"/>
      <c r="B13" s="189"/>
      <c r="C13" s="189"/>
    </row>
    <row r="14" spans="1:13" s="182" customFormat="1" x14ac:dyDescent="0.25">
      <c r="A14" s="188"/>
      <c r="B14" s="189"/>
      <c r="C14" s="189"/>
    </row>
    <row r="16" spans="1:13" x14ac:dyDescent="0.25">
      <c r="C16" s="193"/>
    </row>
  </sheetData>
  <mergeCells count="4">
    <mergeCell ref="A4:H4"/>
    <mergeCell ref="B6:C6"/>
    <mergeCell ref="A9:H9"/>
    <mergeCell ref="A12:H12"/>
  </mergeCells>
  <hyperlinks>
    <hyperlink ref="F1" location="BG!D43" display="BG" xr:uid="{773079E3-E811-F04A-8863-870E1088CF07}"/>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007C61-8966-4315-BA91-4A1E0EDF3846}">
  <dimension ref="A1:J379"/>
  <sheetViews>
    <sheetView topLeftCell="A346" workbookViewId="0">
      <selection activeCell="D196" sqref="D196"/>
    </sheetView>
  </sheetViews>
  <sheetFormatPr baseColWidth="10" defaultColWidth="11" defaultRowHeight="10.199999999999999" x14ac:dyDescent="0.2"/>
  <cols>
    <col min="1" max="1" width="15.09765625" style="409" bestFit="1" customWidth="1"/>
    <col min="2" max="2" width="36.69921875" style="409" bestFit="1" customWidth="1"/>
    <col min="3" max="3" width="11.69921875" style="412" bestFit="1" customWidth="1"/>
    <col min="4" max="4" width="10.19921875" style="412" bestFit="1" customWidth="1"/>
    <col min="5" max="5" width="14.69921875" style="412" bestFit="1" customWidth="1"/>
    <col min="6" max="6" width="9.3984375" style="412" bestFit="1" customWidth="1"/>
    <col min="7" max="7" width="11" style="409"/>
    <col min="8" max="8" width="12.59765625" style="409" bestFit="1" customWidth="1"/>
    <col min="9" max="16384" width="11" style="409"/>
  </cols>
  <sheetData>
    <row r="1" spans="1:7" x14ac:dyDescent="0.2">
      <c r="A1" s="420" t="s">
        <v>529</v>
      </c>
      <c r="B1" s="420" t="s">
        <v>530</v>
      </c>
      <c r="C1" s="421" t="s">
        <v>963</v>
      </c>
      <c r="D1" s="421" t="s">
        <v>964</v>
      </c>
      <c r="E1" s="421" t="s">
        <v>965</v>
      </c>
      <c r="F1" s="421" t="s">
        <v>966</v>
      </c>
    </row>
    <row r="2" spans="1:7" x14ac:dyDescent="0.2">
      <c r="A2" s="414" t="s">
        <v>533</v>
      </c>
      <c r="B2" s="414" t="s">
        <v>534</v>
      </c>
      <c r="C2" s="422">
        <v>882623</v>
      </c>
      <c r="E2" s="412">
        <f>+C2+D2</f>
        <v>882623</v>
      </c>
      <c r="F2" s="412" t="e">
        <f>VLOOKUP(A2,'[2]BASE SAP 2022'!B:E,4,FALSE)-E2</f>
        <v>#N/A</v>
      </c>
      <c r="G2" s="419">
        <f>VLOOKUP(A2,'[3]base BG'!C:E,3,FALSE)-E2</f>
        <v>0</v>
      </c>
    </row>
    <row r="3" spans="1:7" x14ac:dyDescent="0.2">
      <c r="A3" s="414" t="s">
        <v>535</v>
      </c>
      <c r="B3" s="414" t="s">
        <v>536</v>
      </c>
      <c r="C3" s="422">
        <v>286070992</v>
      </c>
      <c r="E3" s="412">
        <f t="shared" ref="E3:E66" si="0">+C3+D3</f>
        <v>286070992</v>
      </c>
      <c r="F3" s="412" t="e">
        <f>VLOOKUP(A3,'[2]BASE SAP 2022'!B:E,4,FALSE)-E3</f>
        <v>#N/A</v>
      </c>
      <c r="G3" s="419">
        <f>VLOOKUP(A3,'[3]base BG'!C:E,3,FALSE)-E3</f>
        <v>0</v>
      </c>
    </row>
    <row r="4" spans="1:7" x14ac:dyDescent="0.2">
      <c r="A4" s="414" t="s">
        <v>537</v>
      </c>
      <c r="B4" s="414" t="s">
        <v>538</v>
      </c>
      <c r="C4" s="422">
        <v>131314462</v>
      </c>
      <c r="E4" s="412">
        <f t="shared" si="0"/>
        <v>131314462</v>
      </c>
      <c r="F4" s="412" t="e">
        <f>VLOOKUP(A4,'[2]BASE SAP 2022'!B:E,4,FALSE)-E4</f>
        <v>#N/A</v>
      </c>
      <c r="G4" s="419">
        <f>VLOOKUP(A4,'[3]base BG'!C:E,3,FALSE)-E4</f>
        <v>0</v>
      </c>
    </row>
    <row r="5" spans="1:7" x14ac:dyDescent="0.2">
      <c r="A5" s="414" t="s">
        <v>539</v>
      </c>
      <c r="B5" s="414" t="s">
        <v>540</v>
      </c>
      <c r="C5" s="422">
        <v>85465431</v>
      </c>
      <c r="E5" s="412">
        <f t="shared" si="0"/>
        <v>85465431</v>
      </c>
      <c r="F5" s="412" t="e">
        <f>VLOOKUP(A5,'[2]BASE SAP 2022'!B:E,4,FALSE)-E5</f>
        <v>#N/A</v>
      </c>
      <c r="G5" s="419">
        <f>VLOOKUP(A5,'[3]base BG'!C:E,3,FALSE)-E5</f>
        <v>0</v>
      </c>
    </row>
    <row r="6" spans="1:7" x14ac:dyDescent="0.2">
      <c r="A6" s="414" t="s">
        <v>541</v>
      </c>
      <c r="B6" s="414" t="s">
        <v>542</v>
      </c>
      <c r="C6" s="422">
        <v>89366280</v>
      </c>
      <c r="E6" s="412">
        <f t="shared" si="0"/>
        <v>89366280</v>
      </c>
      <c r="F6" s="412" t="e">
        <f>VLOOKUP(A6,'[2]BASE SAP 2022'!B:E,4,FALSE)-E6</f>
        <v>#N/A</v>
      </c>
      <c r="G6" s="419">
        <f>VLOOKUP(A6,'[3]base BG'!C:E,3,FALSE)-E6</f>
        <v>0</v>
      </c>
    </row>
    <row r="7" spans="1:7" x14ac:dyDescent="0.2">
      <c r="A7" s="414" t="s">
        <v>543</v>
      </c>
      <c r="B7" s="414" t="s">
        <v>544</v>
      </c>
      <c r="C7" s="422">
        <v>13291964</v>
      </c>
      <c r="E7" s="412">
        <f t="shared" si="0"/>
        <v>13291964</v>
      </c>
      <c r="F7" s="412" t="e">
        <f>VLOOKUP(A7,'[2]BASE SAP 2022'!B:E,4,FALSE)-E7</f>
        <v>#N/A</v>
      </c>
      <c r="G7" s="419">
        <f>VLOOKUP(A7,'[3]base BG'!C:E,3,FALSE)-E7</f>
        <v>0</v>
      </c>
    </row>
    <row r="8" spans="1:7" x14ac:dyDescent="0.2">
      <c r="A8" s="414" t="s">
        <v>545</v>
      </c>
      <c r="B8" s="414" t="s">
        <v>546</v>
      </c>
      <c r="C8" s="422">
        <v>772834880</v>
      </c>
      <c r="E8" s="412">
        <f t="shared" si="0"/>
        <v>772834880</v>
      </c>
      <c r="F8" s="412" t="e">
        <f>VLOOKUP(A8,'[2]BASE SAP 2022'!B:E,4,FALSE)-E8</f>
        <v>#N/A</v>
      </c>
      <c r="G8" s="419">
        <f>VLOOKUP(A8,'[3]base BG'!C:E,3,FALSE)-E8</f>
        <v>0</v>
      </c>
    </row>
    <row r="9" spans="1:7" x14ac:dyDescent="0.2">
      <c r="A9" s="414" t="s">
        <v>547</v>
      </c>
      <c r="B9" s="414" t="s">
        <v>548</v>
      </c>
      <c r="C9" s="422">
        <v>267799185</v>
      </c>
      <c r="E9" s="412">
        <f t="shared" si="0"/>
        <v>267799185</v>
      </c>
      <c r="F9" s="412" t="e">
        <f>VLOOKUP(A9,'[2]BASE SAP 2022'!B:E,4,FALSE)-E9</f>
        <v>#N/A</v>
      </c>
      <c r="G9" s="419">
        <f>VLOOKUP(A9,'[3]base BG'!C:E,3,FALSE)-E9</f>
        <v>0</v>
      </c>
    </row>
    <row r="10" spans="1:7" x14ac:dyDescent="0.2">
      <c r="A10" s="414" t="s">
        <v>549</v>
      </c>
      <c r="B10" s="414" t="s">
        <v>550</v>
      </c>
      <c r="C10" s="422">
        <v>8000003</v>
      </c>
      <c r="E10" s="412">
        <f t="shared" si="0"/>
        <v>8000003</v>
      </c>
      <c r="F10" s="412" t="e">
        <f>VLOOKUP(A10,'[2]BASE SAP 2022'!B:E,4,FALSE)-E10</f>
        <v>#N/A</v>
      </c>
      <c r="G10" s="419">
        <f>VLOOKUP(A10,'[3]base BG'!C:E,3,FALSE)-E10</f>
        <v>0</v>
      </c>
    </row>
    <row r="11" spans="1:7" x14ac:dyDescent="0.2">
      <c r="A11" s="414" t="s">
        <v>551</v>
      </c>
      <c r="B11" s="414" t="s">
        <v>552</v>
      </c>
      <c r="C11" s="422">
        <v>10000000</v>
      </c>
      <c r="E11" s="412">
        <f t="shared" si="0"/>
        <v>10000000</v>
      </c>
      <c r="F11" s="412" t="e">
        <f>VLOOKUP(A11,'[2]BASE SAP 2022'!B:E,4,FALSE)-E11</f>
        <v>#N/A</v>
      </c>
      <c r="G11" s="419">
        <f>VLOOKUP(A11,'[3]base BG'!C:E,3,FALSE)-E11</f>
        <v>0</v>
      </c>
    </row>
    <row r="12" spans="1:7" x14ac:dyDescent="0.2">
      <c r="A12" s="414" t="s">
        <v>553</v>
      </c>
      <c r="B12" s="414" t="s">
        <v>554</v>
      </c>
      <c r="C12" s="422">
        <v>4000000</v>
      </c>
      <c r="E12" s="412">
        <f t="shared" si="0"/>
        <v>4000000</v>
      </c>
      <c r="F12" s="412" t="e">
        <f>VLOOKUP(A12,'[2]BASE SAP 2022'!B:E,4,FALSE)-E12</f>
        <v>#N/A</v>
      </c>
      <c r="G12" s="419">
        <f>VLOOKUP(A12,'[3]base BG'!C:E,3,FALSE)-E12</f>
        <v>0</v>
      </c>
    </row>
    <row r="13" spans="1:7" x14ac:dyDescent="0.2">
      <c r="A13" s="414" t="s">
        <v>555</v>
      </c>
      <c r="B13" s="414" t="s">
        <v>556</v>
      </c>
      <c r="C13" s="422">
        <v>5000000</v>
      </c>
      <c r="E13" s="412">
        <f t="shared" si="0"/>
        <v>5000000</v>
      </c>
      <c r="F13" s="412" t="e">
        <f>VLOOKUP(A13,'[2]BASE SAP 2022'!B:E,4,FALSE)-E13</f>
        <v>#N/A</v>
      </c>
      <c r="G13" s="419">
        <f>VLOOKUP(A13,'[3]base BG'!C:E,3,FALSE)-E13</f>
        <v>0</v>
      </c>
    </row>
    <row r="14" spans="1:7" x14ac:dyDescent="0.2">
      <c r="A14" s="414" t="s">
        <v>557</v>
      </c>
      <c r="B14" s="414" t="s">
        <v>558</v>
      </c>
      <c r="C14" s="422">
        <v>6000000</v>
      </c>
      <c r="E14" s="412">
        <f t="shared" si="0"/>
        <v>6000000</v>
      </c>
      <c r="F14" s="412" t="e">
        <f>VLOOKUP(A14,'[2]BASE SAP 2022'!B:E,4,FALSE)-E14</f>
        <v>#N/A</v>
      </c>
      <c r="G14" s="419">
        <f>VLOOKUP(A14,'[3]base BG'!C:E,3,FALSE)-E14</f>
        <v>0</v>
      </c>
    </row>
    <row r="15" spans="1:7" x14ac:dyDescent="0.2">
      <c r="A15" s="414" t="s">
        <v>559</v>
      </c>
      <c r="B15" s="414" t="s">
        <v>560</v>
      </c>
      <c r="C15" s="422">
        <v>5000000</v>
      </c>
      <c r="E15" s="412">
        <f t="shared" si="0"/>
        <v>5000000</v>
      </c>
      <c r="F15" s="412" t="e">
        <f>VLOOKUP(A15,'[2]BASE SAP 2022'!B:E,4,FALSE)-E15</f>
        <v>#N/A</v>
      </c>
      <c r="G15" s="419">
        <f>VLOOKUP(A15,'[3]base BG'!C:E,3,FALSE)-E15</f>
        <v>0</v>
      </c>
    </row>
    <row r="16" spans="1:7" x14ac:dyDescent="0.2">
      <c r="A16" s="414" t="s">
        <v>563</v>
      </c>
      <c r="B16" s="414" t="s">
        <v>564</v>
      </c>
      <c r="C16" s="422">
        <v>5000000</v>
      </c>
      <c r="E16" s="412">
        <f t="shared" si="0"/>
        <v>5000000</v>
      </c>
      <c r="F16" s="412" t="e">
        <f>VLOOKUP(A16,'[2]BASE SAP 2022'!B:E,4,FALSE)-E16</f>
        <v>#N/A</v>
      </c>
      <c r="G16" s="419">
        <f>VLOOKUP(A16,'[3]base BG'!C:E,3,FALSE)-E16</f>
        <v>0</v>
      </c>
    </row>
    <row r="17" spans="1:7" x14ac:dyDescent="0.2">
      <c r="A17" s="414" t="s">
        <v>565</v>
      </c>
      <c r="B17" s="414" t="s">
        <v>566</v>
      </c>
      <c r="C17" s="422">
        <v>4000000</v>
      </c>
      <c r="E17" s="412">
        <f t="shared" si="0"/>
        <v>4000000</v>
      </c>
      <c r="F17" s="412" t="e">
        <f>VLOOKUP(A17,'[2]BASE SAP 2022'!B:E,4,FALSE)-E17</f>
        <v>#N/A</v>
      </c>
      <c r="G17" s="419">
        <f>VLOOKUP(A17,'[3]base BG'!C:E,3,FALSE)-E17</f>
        <v>0</v>
      </c>
    </row>
    <row r="18" spans="1:7" x14ac:dyDescent="0.2">
      <c r="A18" s="414" t="s">
        <v>567</v>
      </c>
      <c r="B18" s="414" t="s">
        <v>568</v>
      </c>
      <c r="C18" s="422">
        <v>7000000</v>
      </c>
      <c r="E18" s="412">
        <f t="shared" si="0"/>
        <v>7000000</v>
      </c>
      <c r="F18" s="412" t="e">
        <f>VLOOKUP(A18,'[2]BASE SAP 2022'!B:E,4,FALSE)-E18</f>
        <v>#N/A</v>
      </c>
      <c r="G18" s="419">
        <f>VLOOKUP(A18,'[3]base BG'!C:E,3,FALSE)-E18</f>
        <v>0</v>
      </c>
    </row>
    <row r="19" spans="1:7" x14ac:dyDescent="0.2">
      <c r="A19" s="414" t="s">
        <v>569</v>
      </c>
      <c r="B19" s="414" t="s">
        <v>570</v>
      </c>
      <c r="C19" s="422">
        <v>2000000</v>
      </c>
      <c r="E19" s="412">
        <f t="shared" si="0"/>
        <v>2000000</v>
      </c>
      <c r="F19" s="412" t="e">
        <f>VLOOKUP(A19,'[2]BASE SAP 2022'!B:E,4,FALSE)-E19</f>
        <v>#N/A</v>
      </c>
      <c r="G19" s="419">
        <f>VLOOKUP(A19,'[3]base BG'!C:E,3,FALSE)-E19</f>
        <v>0</v>
      </c>
    </row>
    <row r="20" spans="1:7" x14ac:dyDescent="0.2">
      <c r="A20" s="414" t="s">
        <v>571</v>
      </c>
      <c r="B20" s="414" t="s">
        <v>572</v>
      </c>
      <c r="C20" s="422">
        <v>1430513111</v>
      </c>
      <c r="E20" s="412">
        <f t="shared" si="0"/>
        <v>1430513111</v>
      </c>
      <c r="F20" s="412" t="e">
        <f>VLOOKUP(A20,'[2]BASE SAP 2022'!B:E,4,FALSE)-E20</f>
        <v>#N/A</v>
      </c>
      <c r="G20" s="419">
        <f>VLOOKUP(A20,'[3]base BG'!C:E,3,FALSE)-E20</f>
        <v>0</v>
      </c>
    </row>
    <row r="21" spans="1:7" x14ac:dyDescent="0.2">
      <c r="A21" s="414" t="s">
        <v>573</v>
      </c>
      <c r="B21" s="414" t="s">
        <v>574</v>
      </c>
      <c r="C21" s="422">
        <v>439846358</v>
      </c>
      <c r="E21" s="412">
        <f t="shared" si="0"/>
        <v>439846358</v>
      </c>
      <c r="F21" s="412" t="e">
        <f>VLOOKUP(A21,'[2]BASE SAP 2022'!B:E,4,FALSE)-E21</f>
        <v>#N/A</v>
      </c>
      <c r="G21" s="419">
        <f>VLOOKUP(A21,'[3]base BG'!C:E,3,FALSE)-E21</f>
        <v>0</v>
      </c>
    </row>
    <row r="22" spans="1:7" x14ac:dyDescent="0.2">
      <c r="A22" s="414" t="s">
        <v>575</v>
      </c>
      <c r="B22" s="414" t="s">
        <v>576</v>
      </c>
      <c r="C22" s="422">
        <v>914348255</v>
      </c>
      <c r="E22" s="412">
        <f t="shared" si="0"/>
        <v>914348255</v>
      </c>
      <c r="F22" s="412" t="e">
        <f>VLOOKUP(A22,'[2]BASE SAP 2022'!B:E,4,FALSE)-E22</f>
        <v>#N/A</v>
      </c>
      <c r="G22" s="419">
        <f>VLOOKUP(A22,'[3]base BG'!C:E,3,FALSE)-E22</f>
        <v>0</v>
      </c>
    </row>
    <row r="23" spans="1:7" x14ac:dyDescent="0.2">
      <c r="A23" s="414" t="s">
        <v>577</v>
      </c>
      <c r="B23" s="414" t="s">
        <v>578</v>
      </c>
      <c r="C23" s="422">
        <v>553213572</v>
      </c>
      <c r="E23" s="412">
        <f t="shared" si="0"/>
        <v>553213572</v>
      </c>
      <c r="F23" s="412" t="e">
        <f>VLOOKUP(A23,'[2]BASE SAP 2022'!B:E,4,FALSE)-E23</f>
        <v>#N/A</v>
      </c>
      <c r="G23" s="419">
        <f>VLOOKUP(A23,'[3]base BG'!C:E,3,FALSE)-E23</f>
        <v>0</v>
      </c>
    </row>
    <row r="24" spans="1:7" x14ac:dyDescent="0.2">
      <c r="A24" s="414" t="s">
        <v>581</v>
      </c>
      <c r="B24" s="414" t="s">
        <v>582</v>
      </c>
      <c r="C24" s="422">
        <v>19208420</v>
      </c>
      <c r="E24" s="412">
        <f t="shared" si="0"/>
        <v>19208420</v>
      </c>
      <c r="F24" s="412" t="e">
        <f>VLOOKUP(A24,'[2]BASE SAP 2022'!B:E,4,FALSE)-E24</f>
        <v>#N/A</v>
      </c>
      <c r="G24" s="419">
        <f>VLOOKUP(A24,'[3]base BG'!C:E,3,FALSE)-E24</f>
        <v>0</v>
      </c>
    </row>
    <row r="25" spans="1:7" x14ac:dyDescent="0.2">
      <c r="A25" s="414" t="s">
        <v>583</v>
      </c>
      <c r="B25" s="414" t="s">
        <v>584</v>
      </c>
      <c r="C25" s="422">
        <v>1027720505</v>
      </c>
      <c r="E25" s="412">
        <f t="shared" si="0"/>
        <v>1027720505</v>
      </c>
      <c r="F25" s="412" t="e">
        <f>VLOOKUP(A25,'[2]BASE SAP 2022'!B:E,4,FALSE)-E25</f>
        <v>#N/A</v>
      </c>
      <c r="G25" s="419">
        <f>VLOOKUP(A25,'[3]base BG'!C:E,3,FALSE)-E25</f>
        <v>0</v>
      </c>
    </row>
    <row r="26" spans="1:7" x14ac:dyDescent="0.2">
      <c r="A26" s="414" t="s">
        <v>585</v>
      </c>
      <c r="B26" s="414" t="s">
        <v>586</v>
      </c>
      <c r="C26" s="422">
        <v>1446354547</v>
      </c>
      <c r="E26" s="412">
        <f t="shared" si="0"/>
        <v>1446354547</v>
      </c>
      <c r="F26" s="412" t="e">
        <f>VLOOKUP(A26,'[2]BASE SAP 2022'!B:E,4,FALSE)-E26</f>
        <v>#N/A</v>
      </c>
      <c r="G26" s="419">
        <f>VLOOKUP(A26,'[3]base BG'!C:E,3,FALSE)-E26</f>
        <v>0</v>
      </c>
    </row>
    <row r="27" spans="1:7" x14ac:dyDescent="0.2">
      <c r="A27" s="414" t="s">
        <v>587</v>
      </c>
      <c r="B27" s="414" t="s">
        <v>588</v>
      </c>
      <c r="C27" s="422">
        <v>62025</v>
      </c>
      <c r="E27" s="412">
        <f t="shared" si="0"/>
        <v>62025</v>
      </c>
      <c r="F27" s="412" t="e">
        <f>VLOOKUP(A27,'[2]BASE SAP 2022'!B:E,4,FALSE)-E27</f>
        <v>#N/A</v>
      </c>
      <c r="G27" s="419">
        <f>VLOOKUP(A27,'[3]base BG'!C:E,3,FALSE)-E27</f>
        <v>0</v>
      </c>
    </row>
    <row r="28" spans="1:7" x14ac:dyDescent="0.2">
      <c r="A28" s="414" t="s">
        <v>589</v>
      </c>
      <c r="B28" s="414" t="s">
        <v>590</v>
      </c>
      <c r="C28" s="422">
        <v>370978</v>
      </c>
      <c r="E28" s="412">
        <f t="shared" si="0"/>
        <v>370978</v>
      </c>
      <c r="F28" s="412" t="e">
        <f>VLOOKUP(A28,'[2]BASE SAP 2022'!B:E,4,FALSE)-E28</f>
        <v>#N/A</v>
      </c>
      <c r="G28" s="419">
        <f>VLOOKUP(A28,'[3]base BG'!C:E,3,FALSE)-E28</f>
        <v>0</v>
      </c>
    </row>
    <row r="29" spans="1:7" x14ac:dyDescent="0.2">
      <c r="A29" s="414" t="s">
        <v>591</v>
      </c>
      <c r="B29" s="414" t="s">
        <v>592</v>
      </c>
      <c r="C29" s="422">
        <v>614639857</v>
      </c>
      <c r="E29" s="412">
        <f t="shared" si="0"/>
        <v>614639857</v>
      </c>
      <c r="F29" s="412" t="e">
        <f>VLOOKUP(A29,'[2]BASE SAP 2022'!B:E,4,FALSE)-E29</f>
        <v>#N/A</v>
      </c>
      <c r="G29" s="419">
        <f>VLOOKUP(A29,'[3]base BG'!C:E,3,FALSE)-E29</f>
        <v>0</v>
      </c>
    </row>
    <row r="30" spans="1:7" x14ac:dyDescent="0.2">
      <c r="A30" s="414" t="s">
        <v>593</v>
      </c>
      <c r="B30" s="414" t="s">
        <v>594</v>
      </c>
      <c r="C30" s="422">
        <v>120828</v>
      </c>
      <c r="E30" s="412">
        <f t="shared" si="0"/>
        <v>120828</v>
      </c>
      <c r="F30" s="412" t="e">
        <f>VLOOKUP(A30,'[2]BASE SAP 2022'!B:E,4,FALSE)-E30</f>
        <v>#N/A</v>
      </c>
      <c r="G30" s="419">
        <f>VLOOKUP(A30,'[3]base BG'!C:E,3,FALSE)-E30</f>
        <v>0</v>
      </c>
    </row>
    <row r="31" spans="1:7" x14ac:dyDescent="0.2">
      <c r="A31" s="414" t="s">
        <v>595</v>
      </c>
      <c r="B31" s="414" t="s">
        <v>596</v>
      </c>
      <c r="C31" s="422">
        <v>214647014</v>
      </c>
      <c r="E31" s="412">
        <f t="shared" si="0"/>
        <v>214647014</v>
      </c>
      <c r="F31" s="412" t="e">
        <f>VLOOKUP(A31,'[2]BASE SAP 2022'!B:E,4,FALSE)-E31</f>
        <v>#N/A</v>
      </c>
      <c r="G31" s="419">
        <f>VLOOKUP(A31,'[3]base BG'!C:E,3,FALSE)-E31</f>
        <v>0</v>
      </c>
    </row>
    <row r="32" spans="1:7" x14ac:dyDescent="0.2">
      <c r="A32" s="414" t="s">
        <v>597</v>
      </c>
      <c r="B32" s="414" t="s">
        <v>598</v>
      </c>
      <c r="C32" s="422">
        <v>75173966</v>
      </c>
      <c r="E32" s="412">
        <f t="shared" si="0"/>
        <v>75173966</v>
      </c>
      <c r="F32" s="412" t="e">
        <f>VLOOKUP(A32,'[2]BASE SAP 2022'!B:E,4,FALSE)-E32</f>
        <v>#N/A</v>
      </c>
      <c r="G32" s="419">
        <f>VLOOKUP(A32,'[3]base BG'!C:E,3,FALSE)-E32</f>
        <v>0</v>
      </c>
    </row>
    <row r="33" spans="1:7" x14ac:dyDescent="0.2">
      <c r="A33" s="414" t="s">
        <v>599</v>
      </c>
      <c r="B33" s="414" t="s">
        <v>600</v>
      </c>
      <c r="C33" s="422">
        <v>30000000</v>
      </c>
      <c r="E33" s="412">
        <f t="shared" si="0"/>
        <v>30000000</v>
      </c>
      <c r="F33" s="412" t="e">
        <f>VLOOKUP(A33,'[2]BASE SAP 2022'!B:E,4,FALSE)-E33</f>
        <v>#N/A</v>
      </c>
      <c r="G33" s="419">
        <f>VLOOKUP(A33,'[3]base BG'!C:E,3,FALSE)-E33</f>
        <v>0</v>
      </c>
    </row>
    <row r="34" spans="1:7" x14ac:dyDescent="0.2">
      <c r="A34" s="414" t="s">
        <v>601</v>
      </c>
      <c r="B34" s="414" t="s">
        <v>602</v>
      </c>
      <c r="C34" s="422">
        <v>3979457</v>
      </c>
      <c r="E34" s="412">
        <f t="shared" si="0"/>
        <v>3979457</v>
      </c>
      <c r="F34" s="412" t="e">
        <f>VLOOKUP(A34,'[2]BASE SAP 2022'!B:E,4,FALSE)-E34</f>
        <v>#N/A</v>
      </c>
      <c r="G34" s="419">
        <f>VLOOKUP(A34,'[3]base BG'!C:E,3,FALSE)-E34</f>
        <v>0</v>
      </c>
    </row>
    <row r="35" spans="1:7" x14ac:dyDescent="0.2">
      <c r="A35" s="414" t="s">
        <v>606</v>
      </c>
      <c r="B35" s="414" t="s">
        <v>607</v>
      </c>
      <c r="C35" s="422">
        <v>8440997636</v>
      </c>
      <c r="E35" s="412">
        <f t="shared" si="0"/>
        <v>8440997636</v>
      </c>
      <c r="F35" s="412" t="e">
        <f>VLOOKUP(A35,'[2]BASE SAP 2022'!B:E,4,FALSE)-E35</f>
        <v>#N/A</v>
      </c>
      <c r="G35" s="419">
        <f>VLOOKUP(A35,'[3]base BG'!C:E,3,FALSE)-E35</f>
        <v>0</v>
      </c>
    </row>
    <row r="36" spans="1:7" x14ac:dyDescent="0.2">
      <c r="A36" s="414" t="s">
        <v>610</v>
      </c>
      <c r="B36" s="414" t="s">
        <v>609</v>
      </c>
      <c r="C36" s="422">
        <v>530679587</v>
      </c>
      <c r="E36" s="412">
        <f t="shared" si="0"/>
        <v>530679587</v>
      </c>
      <c r="F36" s="412" t="e">
        <f>VLOOKUP(A36,'[2]BASE SAP 2022'!B:E,4,FALSE)-E36</f>
        <v>#N/A</v>
      </c>
      <c r="G36" s="419">
        <f>VLOOKUP(A36,'[3]base BG'!C:E,3,FALSE)-E36</f>
        <v>0</v>
      </c>
    </row>
    <row r="37" spans="1:7" x14ac:dyDescent="0.2">
      <c r="A37" s="414" t="s">
        <v>611</v>
      </c>
      <c r="B37" s="414" t="s">
        <v>612</v>
      </c>
      <c r="C37" s="422">
        <v>2781301189</v>
      </c>
      <c r="E37" s="412">
        <f t="shared" si="0"/>
        <v>2781301189</v>
      </c>
      <c r="F37" s="412" t="e">
        <f>VLOOKUP(A37,'[2]BASE SAP 2022'!B:E,4,FALSE)-E37</f>
        <v>#N/A</v>
      </c>
      <c r="G37" s="419">
        <f>VLOOKUP(A37,'[3]base BG'!C:E,3,FALSE)-E37</f>
        <v>0</v>
      </c>
    </row>
    <row r="38" spans="1:7" x14ac:dyDescent="0.2">
      <c r="A38" s="414" t="s">
        <v>613</v>
      </c>
      <c r="B38" s="414" t="s">
        <v>614</v>
      </c>
      <c r="C38" s="422">
        <v>873221261</v>
      </c>
      <c r="E38" s="412">
        <f t="shared" si="0"/>
        <v>873221261</v>
      </c>
      <c r="F38" s="412" t="e">
        <f>VLOOKUP(A38,'[2]BASE SAP 2022'!B:E,4,FALSE)-E38</f>
        <v>#N/A</v>
      </c>
      <c r="G38" s="419">
        <f>VLOOKUP(A38,'[3]base BG'!C:E,3,FALSE)-E38</f>
        <v>0</v>
      </c>
    </row>
    <row r="39" spans="1:7" x14ac:dyDescent="0.2">
      <c r="A39" s="414" t="s">
        <v>615</v>
      </c>
      <c r="B39" s="414" t="s">
        <v>616</v>
      </c>
      <c r="C39" s="422">
        <v>7462318375</v>
      </c>
      <c r="E39" s="412">
        <f t="shared" si="0"/>
        <v>7462318375</v>
      </c>
      <c r="F39" s="412" t="e">
        <f>VLOOKUP(A39,'[2]BASE SAP 2022'!B:E,4,FALSE)-E39</f>
        <v>#N/A</v>
      </c>
      <c r="G39" s="419">
        <f>VLOOKUP(A39,'[3]base BG'!C:E,3,FALSE)-E39</f>
        <v>0</v>
      </c>
    </row>
    <row r="40" spans="1:7" x14ac:dyDescent="0.2">
      <c r="A40" s="414" t="s">
        <v>617</v>
      </c>
      <c r="B40" s="414" t="s">
        <v>618</v>
      </c>
      <c r="C40" s="422">
        <v>1355593685</v>
      </c>
      <c r="E40" s="412">
        <f t="shared" si="0"/>
        <v>1355593685</v>
      </c>
      <c r="F40" s="412" t="e">
        <f>VLOOKUP(A40,'[2]BASE SAP 2022'!B:E,4,FALSE)-E40</f>
        <v>#N/A</v>
      </c>
      <c r="G40" s="419">
        <f>VLOOKUP(A40,'[3]base BG'!C:E,3,FALSE)-E40</f>
        <v>0</v>
      </c>
    </row>
    <row r="41" spans="1:7" x14ac:dyDescent="0.2">
      <c r="A41" s="414" t="s">
        <v>622</v>
      </c>
      <c r="B41" s="414" t="s">
        <v>621</v>
      </c>
      <c r="C41" s="422">
        <v>5592293787</v>
      </c>
      <c r="E41" s="412">
        <f t="shared" si="0"/>
        <v>5592293787</v>
      </c>
      <c r="F41" s="412" t="e">
        <f>VLOOKUP(A41,'[2]BASE SAP 2022'!B:E,4,FALSE)-E41</f>
        <v>#N/A</v>
      </c>
      <c r="G41" s="419">
        <f>VLOOKUP(A41,'[3]base BG'!C:E,3,FALSE)-E41</f>
        <v>0</v>
      </c>
    </row>
    <row r="42" spans="1:7" x14ac:dyDescent="0.2">
      <c r="A42" s="414" t="s">
        <v>623</v>
      </c>
      <c r="B42" s="414" t="s">
        <v>624</v>
      </c>
      <c r="C42" s="422">
        <v>45205707</v>
      </c>
      <c r="E42" s="412">
        <f t="shared" si="0"/>
        <v>45205707</v>
      </c>
      <c r="F42" s="412" t="e">
        <f>VLOOKUP(A42,'[2]BASE SAP 2022'!B:E,4,FALSE)-E42</f>
        <v>#N/A</v>
      </c>
      <c r="G42" s="419">
        <f>VLOOKUP(A42,'[3]base BG'!C:E,3,FALSE)-E42</f>
        <v>0</v>
      </c>
    </row>
    <row r="43" spans="1:7" x14ac:dyDescent="0.2">
      <c r="A43" s="414" t="s">
        <v>625</v>
      </c>
      <c r="B43" s="414" t="s">
        <v>626</v>
      </c>
      <c r="C43" s="422">
        <v>19399237</v>
      </c>
      <c r="E43" s="412">
        <f t="shared" si="0"/>
        <v>19399237</v>
      </c>
      <c r="F43" s="412" t="e">
        <f>VLOOKUP(A43,'[2]BASE SAP 2022'!B:E,4,FALSE)-E43</f>
        <v>#N/A</v>
      </c>
      <c r="G43" s="419">
        <f>VLOOKUP(A43,'[3]base BG'!C:E,3,FALSE)-E43</f>
        <v>0</v>
      </c>
    </row>
    <row r="44" spans="1:7" x14ac:dyDescent="0.2">
      <c r="A44" s="414" t="s">
        <v>627</v>
      </c>
      <c r="B44" s="414" t="s">
        <v>167</v>
      </c>
      <c r="C44" s="422">
        <v>-8211056292</v>
      </c>
      <c r="E44" s="412">
        <f t="shared" si="0"/>
        <v>-8211056292</v>
      </c>
      <c r="F44" s="412" t="e">
        <f>VLOOKUP(A44,'[2]BASE SAP 2022'!B:E,4,FALSE)-E44</f>
        <v>#N/A</v>
      </c>
      <c r="G44" s="419">
        <f>VLOOKUP(A44,'[3]base BG'!C:E,3,FALSE)-E44</f>
        <v>0</v>
      </c>
    </row>
    <row r="45" spans="1:7" x14ac:dyDescent="0.2">
      <c r="A45" s="414" t="s">
        <v>628</v>
      </c>
      <c r="B45" s="414" t="s">
        <v>629</v>
      </c>
      <c r="C45" s="422">
        <v>787241992</v>
      </c>
      <c r="E45" s="412">
        <f t="shared" si="0"/>
        <v>787241992</v>
      </c>
      <c r="F45" s="412" t="e">
        <f>VLOOKUP(A45,'[2]BASE SAP 2022'!B:E,4,FALSE)-E45</f>
        <v>#N/A</v>
      </c>
      <c r="G45" s="419">
        <f>VLOOKUP(A45,'[3]base BG'!C:E,3,FALSE)-E45</f>
        <v>0</v>
      </c>
    </row>
    <row r="46" spans="1:7" x14ac:dyDescent="0.2">
      <c r="A46" s="414" t="s">
        <v>630</v>
      </c>
      <c r="B46" s="414" t="s">
        <v>631</v>
      </c>
      <c r="C46" s="422">
        <v>225752730</v>
      </c>
      <c r="E46" s="412">
        <f t="shared" si="0"/>
        <v>225752730</v>
      </c>
      <c r="F46" s="412" t="e">
        <f>VLOOKUP(A46,'[2]BASE SAP 2022'!B:E,4,FALSE)-E46</f>
        <v>#N/A</v>
      </c>
      <c r="G46" s="419">
        <f>VLOOKUP(A46,'[3]base BG'!C:E,3,FALSE)-E46</f>
        <v>0</v>
      </c>
    </row>
    <row r="47" spans="1:7" x14ac:dyDescent="0.2">
      <c r="A47" s="414" t="s">
        <v>632</v>
      </c>
      <c r="B47" s="414" t="s">
        <v>633</v>
      </c>
      <c r="C47" s="422">
        <v>75414864</v>
      </c>
      <c r="E47" s="412">
        <f t="shared" si="0"/>
        <v>75414864</v>
      </c>
      <c r="F47" s="412" t="e">
        <f>VLOOKUP(A47,'[2]BASE SAP 2022'!B:E,4,FALSE)-E47</f>
        <v>#N/A</v>
      </c>
      <c r="G47" s="419">
        <f>VLOOKUP(A47,'[3]base BG'!C:E,3,FALSE)-E47</f>
        <v>0</v>
      </c>
    </row>
    <row r="48" spans="1:7" x14ac:dyDescent="0.2">
      <c r="A48" s="414" t="s">
        <v>634</v>
      </c>
      <c r="B48" s="414" t="s">
        <v>635</v>
      </c>
      <c r="C48" s="422">
        <v>1473331</v>
      </c>
      <c r="E48" s="412">
        <f t="shared" si="0"/>
        <v>1473331</v>
      </c>
      <c r="F48" s="412" t="e">
        <f>VLOOKUP(A48,'[2]BASE SAP 2022'!B:E,4,FALSE)-E48</f>
        <v>#N/A</v>
      </c>
      <c r="G48" s="419">
        <f>VLOOKUP(A48,'[3]base BG'!C:E,3,FALSE)-E48</f>
        <v>0</v>
      </c>
    </row>
    <row r="49" spans="1:7" x14ac:dyDescent="0.2">
      <c r="A49" s="414" t="s">
        <v>636</v>
      </c>
      <c r="B49" s="414" t="s">
        <v>637</v>
      </c>
      <c r="C49" s="422">
        <v>1806076988</v>
      </c>
      <c r="E49" s="412">
        <f t="shared" si="0"/>
        <v>1806076988</v>
      </c>
      <c r="F49" s="412" t="e">
        <f>VLOOKUP(A49,'[2]BASE SAP 2022'!B:E,4,FALSE)-E49</f>
        <v>#N/A</v>
      </c>
      <c r="G49" s="419">
        <f>VLOOKUP(A49,'[3]base BG'!C:E,3,FALSE)-E49</f>
        <v>0</v>
      </c>
    </row>
    <row r="50" spans="1:7" x14ac:dyDescent="0.2">
      <c r="A50" s="414" t="s">
        <v>638</v>
      </c>
      <c r="B50" s="414" t="s">
        <v>639</v>
      </c>
      <c r="C50" s="422">
        <v>368111699</v>
      </c>
      <c r="E50" s="412">
        <f t="shared" si="0"/>
        <v>368111699</v>
      </c>
      <c r="F50" s="412" t="e">
        <f>VLOOKUP(A50,'[2]BASE SAP 2022'!B:E,4,FALSE)-E50</f>
        <v>#N/A</v>
      </c>
      <c r="G50" s="419">
        <f>VLOOKUP(A50,'[3]base BG'!C:E,3,FALSE)-E50</f>
        <v>0</v>
      </c>
    </row>
    <row r="51" spans="1:7" x14ac:dyDescent="0.2">
      <c r="A51" s="414" t="s">
        <v>642</v>
      </c>
      <c r="B51" s="414" t="s">
        <v>266</v>
      </c>
      <c r="C51" s="422">
        <v>706949222</v>
      </c>
      <c r="E51" s="412">
        <f t="shared" si="0"/>
        <v>706949222</v>
      </c>
      <c r="F51" s="412" t="e">
        <f>VLOOKUP(A51,'[2]BASE SAP 2022'!B:E,4,FALSE)-E51</f>
        <v>#N/A</v>
      </c>
      <c r="G51" s="419">
        <f>VLOOKUP(A51,'[3]base BG'!C:E,3,FALSE)-E51</f>
        <v>0</v>
      </c>
    </row>
    <row r="52" spans="1:7" x14ac:dyDescent="0.2">
      <c r="A52" s="414" t="s">
        <v>643</v>
      </c>
      <c r="B52" s="414" t="s">
        <v>644</v>
      </c>
      <c r="C52" s="422">
        <v>11740344485</v>
      </c>
      <c r="E52" s="412">
        <f t="shared" si="0"/>
        <v>11740344485</v>
      </c>
      <c r="F52" s="412" t="e">
        <f>VLOOKUP(A52,'[2]BASE SAP 2022'!B:E,4,FALSE)-E52</f>
        <v>#N/A</v>
      </c>
      <c r="G52" s="419">
        <f>VLOOKUP(A52,'[3]base BG'!C:E,3,FALSE)-E52</f>
        <v>0</v>
      </c>
    </row>
    <row r="53" spans="1:7" x14ac:dyDescent="0.2">
      <c r="A53" s="414" t="s">
        <v>645</v>
      </c>
      <c r="B53" s="414" t="s">
        <v>646</v>
      </c>
      <c r="C53" s="422">
        <v>2685456295</v>
      </c>
      <c r="E53" s="412">
        <f t="shared" si="0"/>
        <v>2685456295</v>
      </c>
      <c r="F53" s="412" t="e">
        <f>VLOOKUP(A53,'[2]BASE SAP 2022'!B:E,4,FALSE)-E53</f>
        <v>#N/A</v>
      </c>
      <c r="G53" s="419">
        <f>VLOOKUP(A53,'[3]base BG'!C:E,3,FALSE)-E53</f>
        <v>0</v>
      </c>
    </row>
    <row r="54" spans="1:7" x14ac:dyDescent="0.2">
      <c r="A54" s="414" t="s">
        <v>648</v>
      </c>
      <c r="B54" s="414" t="s">
        <v>649</v>
      </c>
      <c r="C54" s="422">
        <v>3870500</v>
      </c>
      <c r="E54" s="412">
        <f t="shared" si="0"/>
        <v>3870500</v>
      </c>
      <c r="F54" s="412" t="e">
        <f>VLOOKUP(A54,'[2]BASE SAP 2022'!B:E,4,FALSE)-E54</f>
        <v>#N/A</v>
      </c>
      <c r="G54" s="419">
        <f>VLOOKUP(A54,'[3]base BG'!C:E,3,FALSE)-E54</f>
        <v>0</v>
      </c>
    </row>
    <row r="55" spans="1:7" x14ac:dyDescent="0.2">
      <c r="A55" s="414" t="s">
        <v>650</v>
      </c>
      <c r="B55" s="414" t="s">
        <v>651</v>
      </c>
      <c r="C55" s="422">
        <v>61909052436</v>
      </c>
      <c r="E55" s="412">
        <f t="shared" si="0"/>
        <v>61909052436</v>
      </c>
      <c r="F55" s="412" t="e">
        <f>VLOOKUP(A55,'[2]BASE SAP 2022'!B:E,4,FALSE)-E55</f>
        <v>#N/A</v>
      </c>
      <c r="G55" s="419">
        <f>VLOOKUP(A55,'[3]base BG'!C:E,3,FALSE)-E55</f>
        <v>0</v>
      </c>
    </row>
    <row r="56" spans="1:7" x14ac:dyDescent="0.2">
      <c r="A56" s="414" t="s">
        <v>652</v>
      </c>
      <c r="B56" s="414" t="s">
        <v>653</v>
      </c>
      <c r="C56" s="422">
        <v>627833719</v>
      </c>
      <c r="E56" s="412">
        <f t="shared" si="0"/>
        <v>627833719</v>
      </c>
      <c r="F56" s="412" t="e">
        <f>VLOOKUP(A56,'[2]BASE SAP 2022'!B:E,4,FALSE)-E56</f>
        <v>#N/A</v>
      </c>
      <c r="G56" s="419">
        <f>VLOOKUP(A56,'[3]base BG'!C:E,3,FALSE)-E56</f>
        <v>0</v>
      </c>
    </row>
    <row r="57" spans="1:7" x14ac:dyDescent="0.2">
      <c r="A57" s="414" t="s">
        <v>668</v>
      </c>
      <c r="B57" s="414" t="s">
        <v>669</v>
      </c>
      <c r="C57" s="422">
        <v>54787055</v>
      </c>
      <c r="E57" s="412">
        <f t="shared" si="0"/>
        <v>54787055</v>
      </c>
      <c r="F57" s="412" t="e">
        <f>VLOOKUP(A57,'[2]BASE SAP 2022'!B:E,4,FALSE)-E57</f>
        <v>#N/A</v>
      </c>
      <c r="G57" s="419">
        <f>VLOOKUP(A57,'[3]base BG'!C:E,3,FALSE)-E57</f>
        <v>0</v>
      </c>
    </row>
    <row r="58" spans="1:7" x14ac:dyDescent="0.2">
      <c r="A58" s="414" t="s">
        <v>674</v>
      </c>
      <c r="B58" s="414" t="s">
        <v>675</v>
      </c>
      <c r="C58" s="422">
        <v>17044949</v>
      </c>
      <c r="E58" s="412">
        <f t="shared" si="0"/>
        <v>17044949</v>
      </c>
      <c r="F58" s="412" t="e">
        <f>VLOOKUP(A58,'[2]BASE SAP 2022'!B:E,4,FALSE)-E58</f>
        <v>#N/A</v>
      </c>
      <c r="G58" s="419">
        <f>VLOOKUP(A58,'[3]base BG'!C:E,3,FALSE)-E58</f>
        <v>0</v>
      </c>
    </row>
    <row r="59" spans="1:7" x14ac:dyDescent="0.2">
      <c r="A59" s="414" t="s">
        <v>678</v>
      </c>
      <c r="B59" s="414" t="s">
        <v>679</v>
      </c>
      <c r="C59" s="422">
        <v>80544361</v>
      </c>
      <c r="E59" s="412">
        <f t="shared" si="0"/>
        <v>80544361</v>
      </c>
      <c r="F59" s="412" t="e">
        <f>VLOOKUP(A59,'[2]BASE SAP 2022'!B:E,4,FALSE)-E59</f>
        <v>#N/A</v>
      </c>
      <c r="G59" s="419">
        <f>VLOOKUP(A59,'[3]base BG'!C:E,3,FALSE)-E59</f>
        <v>0</v>
      </c>
    </row>
    <row r="60" spans="1:7" x14ac:dyDescent="0.2">
      <c r="A60" s="414" t="s">
        <v>680</v>
      </c>
      <c r="B60" s="414" t="s">
        <v>681</v>
      </c>
      <c r="C60" s="422">
        <v>412607076</v>
      </c>
      <c r="E60" s="412">
        <f t="shared" si="0"/>
        <v>412607076</v>
      </c>
      <c r="F60" s="412" t="e">
        <f>VLOOKUP(A60,'[2]BASE SAP 2022'!B:E,4,FALSE)-E60</f>
        <v>#N/A</v>
      </c>
      <c r="G60" s="419">
        <f>VLOOKUP(A60,'[3]base BG'!C:E,3,FALSE)-E60</f>
        <v>0</v>
      </c>
    </row>
    <row r="61" spans="1:7" x14ac:dyDescent="0.2">
      <c r="A61" s="414" t="s">
        <v>682</v>
      </c>
      <c r="B61" s="414" t="s">
        <v>683</v>
      </c>
      <c r="C61" s="422">
        <v>300000</v>
      </c>
      <c r="E61" s="412">
        <f t="shared" si="0"/>
        <v>300000</v>
      </c>
      <c r="F61" s="412" t="e">
        <f>VLOOKUP(A61,'[2]BASE SAP 2022'!B:E,4,FALSE)-E61</f>
        <v>#N/A</v>
      </c>
      <c r="G61" s="419">
        <f>VLOOKUP(A61,'[3]base BG'!C:E,3,FALSE)-E61</f>
        <v>0</v>
      </c>
    </row>
    <row r="62" spans="1:7" x14ac:dyDescent="0.2">
      <c r="A62" s="414" t="s">
        <v>684</v>
      </c>
      <c r="B62" s="414" t="s">
        <v>685</v>
      </c>
      <c r="C62" s="422">
        <v>18559535</v>
      </c>
      <c r="E62" s="412">
        <f t="shared" si="0"/>
        <v>18559535</v>
      </c>
      <c r="F62" s="412" t="e">
        <f>VLOOKUP(A62,'[2]BASE SAP 2022'!B:E,4,FALSE)-E62</f>
        <v>#N/A</v>
      </c>
      <c r="G62" s="419">
        <f>VLOOKUP(A62,'[3]base BG'!C:E,3,FALSE)-E62</f>
        <v>0</v>
      </c>
    </row>
    <row r="63" spans="1:7" x14ac:dyDescent="0.2">
      <c r="A63" s="414" t="s">
        <v>686</v>
      </c>
      <c r="B63" s="414" t="s">
        <v>687</v>
      </c>
      <c r="C63" s="422">
        <v>256091856</v>
      </c>
      <c r="E63" s="412">
        <f t="shared" si="0"/>
        <v>256091856</v>
      </c>
      <c r="F63" s="412" t="e">
        <f>VLOOKUP(A63,'[2]BASE SAP 2022'!B:E,4,FALSE)-E63</f>
        <v>#N/A</v>
      </c>
      <c r="G63" s="419">
        <f>VLOOKUP(A63,'[3]base BG'!C:E,3,FALSE)-E63</f>
        <v>0</v>
      </c>
    </row>
    <row r="64" spans="1:7" x14ac:dyDescent="0.2">
      <c r="A64" s="414" t="s">
        <v>689</v>
      </c>
      <c r="B64" s="414" t="s">
        <v>690</v>
      </c>
      <c r="C64" s="422">
        <v>4285714</v>
      </c>
      <c r="E64" s="412">
        <f t="shared" si="0"/>
        <v>4285714</v>
      </c>
      <c r="F64" s="412" t="e">
        <f>VLOOKUP(A64,'[2]BASE SAP 2022'!B:E,4,FALSE)-E64</f>
        <v>#N/A</v>
      </c>
      <c r="G64" s="419">
        <f>VLOOKUP(A64,'[3]base BG'!C:E,3,FALSE)-E64</f>
        <v>0</v>
      </c>
    </row>
    <row r="65" spans="1:7" x14ac:dyDescent="0.2">
      <c r="A65" s="414" t="s">
        <v>693</v>
      </c>
      <c r="B65" s="414" t="s">
        <v>688</v>
      </c>
      <c r="C65" s="422">
        <v>20381286</v>
      </c>
      <c r="E65" s="412">
        <f t="shared" si="0"/>
        <v>20381286</v>
      </c>
      <c r="F65" s="412" t="e">
        <f>VLOOKUP(A65,'[2]BASE SAP 2022'!B:E,4,FALSE)-E65</f>
        <v>#N/A</v>
      </c>
      <c r="G65" s="419">
        <f>VLOOKUP(A65,'[3]base BG'!C:E,3,FALSE)-E65</f>
        <v>0</v>
      </c>
    </row>
    <row r="66" spans="1:7" x14ac:dyDescent="0.2">
      <c r="A66" s="414" t="s">
        <v>694</v>
      </c>
      <c r="B66" s="414" t="s">
        <v>695</v>
      </c>
      <c r="C66" s="422">
        <v>522564020</v>
      </c>
      <c r="E66" s="412">
        <f t="shared" si="0"/>
        <v>522564020</v>
      </c>
      <c r="F66" s="412" t="e">
        <f>VLOOKUP(A66,'[2]BASE SAP 2022'!B:E,4,FALSE)-E66</f>
        <v>#N/A</v>
      </c>
      <c r="G66" s="419">
        <f>VLOOKUP(A66,'[3]base BG'!C:E,3,FALSE)-E66</f>
        <v>0</v>
      </c>
    </row>
    <row r="67" spans="1:7" x14ac:dyDescent="0.2">
      <c r="A67" s="414" t="s">
        <v>696</v>
      </c>
      <c r="B67" s="414" t="s">
        <v>697</v>
      </c>
      <c r="C67" s="422">
        <v>44687415</v>
      </c>
      <c r="E67" s="412">
        <f t="shared" ref="E67:E130" si="1">+C67+D67</f>
        <v>44687415</v>
      </c>
      <c r="F67" s="412" t="e">
        <f>VLOOKUP(A67,'[2]BASE SAP 2022'!B:E,4,FALSE)-E67</f>
        <v>#N/A</v>
      </c>
      <c r="G67" s="419">
        <f>VLOOKUP(A67,'[3]base BG'!C:E,3,FALSE)-E67</f>
        <v>0</v>
      </c>
    </row>
    <row r="68" spans="1:7" x14ac:dyDescent="0.2">
      <c r="A68" s="414" t="s">
        <v>699</v>
      </c>
      <c r="B68" s="414" t="s">
        <v>700</v>
      </c>
      <c r="C68" s="422">
        <v>6824788003</v>
      </c>
      <c r="E68" s="412">
        <f t="shared" si="1"/>
        <v>6824788003</v>
      </c>
      <c r="F68" s="412" t="e">
        <f>VLOOKUP(A68,'[2]BASE SAP 2022'!B:E,4,FALSE)-E68</f>
        <v>#N/A</v>
      </c>
      <c r="G68" s="419">
        <f>VLOOKUP(A68,'[3]base BG'!C:E,3,FALSE)-E68</f>
        <v>-13649576006</v>
      </c>
    </row>
    <row r="69" spans="1:7" x14ac:dyDescent="0.2">
      <c r="A69" s="414" t="s">
        <v>701</v>
      </c>
      <c r="B69" s="414" t="s">
        <v>702</v>
      </c>
      <c r="C69" s="422">
        <v>44504565995</v>
      </c>
      <c r="E69" s="412">
        <f t="shared" si="1"/>
        <v>44504565995</v>
      </c>
      <c r="F69" s="412" t="e">
        <f>VLOOKUP(A69,'[2]BASE SAP 2022'!B:E,4,FALSE)-E69</f>
        <v>#N/A</v>
      </c>
      <c r="G69" s="419">
        <f>VLOOKUP(A69,'[3]base BG'!C:E,3,FALSE)-E69</f>
        <v>0</v>
      </c>
    </row>
    <row r="70" spans="1:7" x14ac:dyDescent="0.2">
      <c r="A70" s="414" t="s">
        <v>703</v>
      </c>
      <c r="B70" s="414" t="s">
        <v>704</v>
      </c>
      <c r="C70" s="422">
        <v>9161573358</v>
      </c>
      <c r="E70" s="412">
        <f t="shared" si="1"/>
        <v>9161573358</v>
      </c>
      <c r="F70" s="412" t="e">
        <f>VLOOKUP(A70,'[2]BASE SAP 2022'!B:E,4,FALSE)-E70</f>
        <v>#N/A</v>
      </c>
      <c r="G70" s="419">
        <f>VLOOKUP(A70,'[3]base BG'!C:E,3,FALSE)-E70</f>
        <v>0</v>
      </c>
    </row>
    <row r="71" spans="1:7" x14ac:dyDescent="0.2">
      <c r="A71" s="414" t="s">
        <v>705</v>
      </c>
      <c r="B71" s="414" t="s">
        <v>706</v>
      </c>
      <c r="C71" s="422">
        <v>11240311358</v>
      </c>
      <c r="E71" s="412">
        <f t="shared" si="1"/>
        <v>11240311358</v>
      </c>
      <c r="F71" s="412" t="e">
        <f>VLOOKUP(A71,'[2]BASE SAP 2022'!B:E,4,FALSE)-E71</f>
        <v>#N/A</v>
      </c>
      <c r="G71" s="419">
        <f>VLOOKUP(A71,'[3]base BG'!C:E,3,FALSE)-E71</f>
        <v>0</v>
      </c>
    </row>
    <row r="72" spans="1:7" x14ac:dyDescent="0.2">
      <c r="A72" s="414" t="s">
        <v>707</v>
      </c>
      <c r="B72" s="414" t="s">
        <v>708</v>
      </c>
      <c r="C72" s="422">
        <v>10017353858</v>
      </c>
      <c r="E72" s="412">
        <f t="shared" si="1"/>
        <v>10017353858</v>
      </c>
      <c r="F72" s="412" t="e">
        <f>VLOOKUP(A72,'[2]BASE SAP 2022'!B:E,4,FALSE)-E72</f>
        <v>#N/A</v>
      </c>
      <c r="G72" s="419">
        <f>VLOOKUP(A72,'[3]base BG'!C:E,3,FALSE)-E72</f>
        <v>0</v>
      </c>
    </row>
    <row r="73" spans="1:7" x14ac:dyDescent="0.2">
      <c r="A73" s="414" t="s">
        <v>709</v>
      </c>
      <c r="B73" s="414" t="s">
        <v>710</v>
      </c>
      <c r="C73" s="422">
        <v>35137330306</v>
      </c>
      <c r="E73" s="412">
        <f t="shared" si="1"/>
        <v>35137330306</v>
      </c>
      <c r="F73" s="412" t="e">
        <f>VLOOKUP(A73,'[2]BASE SAP 2022'!B:E,4,FALSE)-E73</f>
        <v>#N/A</v>
      </c>
      <c r="G73" s="419">
        <f>VLOOKUP(A73,'[3]base BG'!C:E,3,FALSE)-E73</f>
        <v>0</v>
      </c>
    </row>
    <row r="74" spans="1:7" x14ac:dyDescent="0.2">
      <c r="A74" s="414" t="s">
        <v>711</v>
      </c>
      <c r="B74" s="414" t="s">
        <v>712</v>
      </c>
      <c r="C74" s="422">
        <v>9090057</v>
      </c>
      <c r="E74" s="412">
        <f t="shared" si="1"/>
        <v>9090057</v>
      </c>
      <c r="F74" s="412" t="e">
        <f>VLOOKUP(A74,'[2]BASE SAP 2022'!B:E,4,FALSE)-E74</f>
        <v>#N/A</v>
      </c>
      <c r="G74" s="419">
        <f>VLOOKUP(A74,'[3]base BG'!C:E,3,FALSE)-E74</f>
        <v>0</v>
      </c>
    </row>
    <row r="75" spans="1:7" x14ac:dyDescent="0.2">
      <c r="A75" s="414" t="s">
        <v>713</v>
      </c>
      <c r="B75" s="414" t="s">
        <v>714</v>
      </c>
      <c r="C75" s="422">
        <v>357118812</v>
      </c>
      <c r="E75" s="412">
        <f t="shared" si="1"/>
        <v>357118812</v>
      </c>
      <c r="F75" s="412" t="e">
        <f>VLOOKUP(A75,'[2]BASE SAP 2022'!B:E,4,FALSE)-E75</f>
        <v>#N/A</v>
      </c>
      <c r="G75" s="419">
        <f>VLOOKUP(A75,'[3]base BG'!C:E,3,FALSE)-E75</f>
        <v>0</v>
      </c>
    </row>
    <row r="76" spans="1:7" x14ac:dyDescent="0.2">
      <c r="A76" s="414" t="s">
        <v>715</v>
      </c>
      <c r="B76" s="414" t="s">
        <v>716</v>
      </c>
      <c r="C76" s="422">
        <v>629542016</v>
      </c>
      <c r="E76" s="412">
        <f t="shared" si="1"/>
        <v>629542016</v>
      </c>
      <c r="F76" s="412" t="e">
        <f>VLOOKUP(A76,'[2]BASE SAP 2022'!B:E,4,FALSE)-E76</f>
        <v>#N/A</v>
      </c>
      <c r="G76" s="419">
        <f>VLOOKUP(A76,'[3]base BG'!C:E,3,FALSE)-E76</f>
        <v>0</v>
      </c>
    </row>
    <row r="77" spans="1:7" x14ac:dyDescent="0.2">
      <c r="A77" s="414" t="s">
        <v>717</v>
      </c>
      <c r="B77" s="414" t="s">
        <v>718</v>
      </c>
      <c r="C77" s="422">
        <v>6237480243</v>
      </c>
      <c r="E77" s="412">
        <f t="shared" si="1"/>
        <v>6237480243</v>
      </c>
      <c r="F77" s="412" t="e">
        <f>VLOOKUP(A77,'[2]BASE SAP 2022'!B:E,4,FALSE)-E77</f>
        <v>#N/A</v>
      </c>
      <c r="G77" s="419">
        <f>VLOOKUP(A77,'[3]base BG'!C:E,3,FALSE)-E77</f>
        <v>0</v>
      </c>
    </row>
    <row r="78" spans="1:7" x14ac:dyDescent="0.2">
      <c r="A78" s="414" t="s">
        <v>719</v>
      </c>
      <c r="B78" s="414" t="s">
        <v>720</v>
      </c>
      <c r="C78" s="422">
        <v>-335772265</v>
      </c>
      <c r="E78" s="412">
        <f t="shared" si="1"/>
        <v>-335772265</v>
      </c>
      <c r="F78" s="412" t="e">
        <f>VLOOKUP(A78,'[2]BASE SAP 2022'!B:E,4,FALSE)-E78</f>
        <v>#N/A</v>
      </c>
      <c r="G78" s="419">
        <f>VLOOKUP(A78,'[3]base BG'!C:E,3,FALSE)-E78</f>
        <v>0</v>
      </c>
    </row>
    <row r="79" spans="1:7" x14ac:dyDescent="0.2">
      <c r="A79" s="414" t="s">
        <v>721</v>
      </c>
      <c r="B79" s="414" t="s">
        <v>722</v>
      </c>
      <c r="C79" s="422">
        <v>101772831</v>
      </c>
      <c r="E79" s="412">
        <f t="shared" si="1"/>
        <v>101772831</v>
      </c>
      <c r="F79" s="412" t="e">
        <f>VLOOKUP(A79,'[2]BASE SAP 2022'!B:E,4,FALSE)-E79</f>
        <v>#N/A</v>
      </c>
      <c r="G79" s="419">
        <f>VLOOKUP(A79,'[3]base BG'!C:E,3,FALSE)-E79</f>
        <v>0</v>
      </c>
    </row>
    <row r="80" spans="1:7" x14ac:dyDescent="0.2">
      <c r="A80" s="414" t="s">
        <v>723</v>
      </c>
      <c r="B80" s="414" t="s">
        <v>724</v>
      </c>
      <c r="C80" s="422">
        <v>10682610094</v>
      </c>
      <c r="E80" s="412">
        <f t="shared" si="1"/>
        <v>10682610094</v>
      </c>
      <c r="F80" s="412" t="e">
        <f>VLOOKUP(A80,'[2]BASE SAP 2022'!B:E,4,FALSE)-E80</f>
        <v>#N/A</v>
      </c>
      <c r="G80" s="419">
        <f>VLOOKUP(A80,'[3]base BG'!C:E,3,FALSE)-E80</f>
        <v>0</v>
      </c>
    </row>
    <row r="81" spans="1:7" x14ac:dyDescent="0.2">
      <c r="A81" s="414" t="s">
        <v>725</v>
      </c>
      <c r="B81" s="414" t="s">
        <v>726</v>
      </c>
      <c r="C81" s="422">
        <v>205078303</v>
      </c>
      <c r="E81" s="412">
        <f t="shared" si="1"/>
        <v>205078303</v>
      </c>
      <c r="F81" s="412" t="e">
        <f>VLOOKUP(A81,'[2]BASE SAP 2022'!B:E,4,FALSE)-E81</f>
        <v>#N/A</v>
      </c>
      <c r="G81" s="419">
        <f>VLOOKUP(A81,'[3]base BG'!C:E,3,FALSE)-E81</f>
        <v>0</v>
      </c>
    </row>
    <row r="82" spans="1:7" x14ac:dyDescent="0.2">
      <c r="A82" s="414" t="s">
        <v>735</v>
      </c>
      <c r="B82" s="414" t="s">
        <v>736</v>
      </c>
      <c r="C82" s="422">
        <v>7887888</v>
      </c>
      <c r="E82" s="412">
        <f t="shared" si="1"/>
        <v>7887888</v>
      </c>
      <c r="F82" s="412" t="e">
        <f>VLOOKUP(A82,'[2]BASE SAP 2022'!B:E,4,FALSE)-E82</f>
        <v>#N/A</v>
      </c>
      <c r="G82" s="419">
        <f>VLOOKUP(A82,'[3]base BG'!C:E,3,FALSE)-E82</f>
        <v>0</v>
      </c>
    </row>
    <row r="83" spans="1:7" x14ac:dyDescent="0.2">
      <c r="A83" s="414" t="s">
        <v>737</v>
      </c>
      <c r="B83" s="414" t="s">
        <v>738</v>
      </c>
      <c r="C83" s="422">
        <v>80955926</v>
      </c>
      <c r="E83" s="412">
        <f t="shared" si="1"/>
        <v>80955926</v>
      </c>
      <c r="F83" s="412" t="e">
        <f>VLOOKUP(A83,'[2]BASE SAP 2022'!B:E,4,FALSE)-E83</f>
        <v>#N/A</v>
      </c>
      <c r="G83" s="419">
        <f>VLOOKUP(A83,'[3]base BG'!C:E,3,FALSE)-E83</f>
        <v>0</v>
      </c>
    </row>
    <row r="84" spans="1:7" x14ac:dyDescent="0.2">
      <c r="A84" s="414" t="s">
        <v>739</v>
      </c>
      <c r="B84" s="414" t="s">
        <v>740</v>
      </c>
      <c r="C84" s="422">
        <v>76494797</v>
      </c>
      <c r="E84" s="412">
        <f t="shared" si="1"/>
        <v>76494797</v>
      </c>
      <c r="F84" s="412" t="e">
        <f>VLOOKUP(A84,'[2]BASE SAP 2022'!B:E,4,FALSE)-E84</f>
        <v>#N/A</v>
      </c>
      <c r="G84" s="419">
        <f>VLOOKUP(A84,'[3]base BG'!C:E,3,FALSE)-E84</f>
        <v>0</v>
      </c>
    </row>
    <row r="85" spans="1:7" x14ac:dyDescent="0.2">
      <c r="A85" s="414" t="s">
        <v>745</v>
      </c>
      <c r="B85" s="414" t="s">
        <v>746</v>
      </c>
      <c r="C85" s="422">
        <v>532821293</v>
      </c>
      <c r="E85" s="412">
        <f t="shared" si="1"/>
        <v>532821293</v>
      </c>
      <c r="F85" s="412" t="e">
        <f>VLOOKUP(A85,'[2]BASE SAP 2022'!B:E,4,FALSE)-E85</f>
        <v>#N/A</v>
      </c>
      <c r="G85" s="419">
        <f>VLOOKUP(A85,'[3]base BG'!C:E,3,FALSE)-E85</f>
        <v>0</v>
      </c>
    </row>
    <row r="86" spans="1:7" x14ac:dyDescent="0.2">
      <c r="A86" s="414" t="s">
        <v>749</v>
      </c>
      <c r="B86" s="414" t="s">
        <v>750</v>
      </c>
      <c r="C86" s="422">
        <v>-2</v>
      </c>
      <c r="E86" s="412">
        <f t="shared" si="1"/>
        <v>-2</v>
      </c>
      <c r="F86" s="412" t="e">
        <f>VLOOKUP(A86,'[2]BASE SAP 2022'!B:E,4,FALSE)-E86</f>
        <v>#N/A</v>
      </c>
      <c r="G86" s="419">
        <f>VLOOKUP(A86,'[3]base BG'!C:E,3,FALSE)-E86</f>
        <v>0</v>
      </c>
    </row>
    <row r="87" spans="1:7" x14ac:dyDescent="0.2">
      <c r="A87" s="414" t="s">
        <v>751</v>
      </c>
      <c r="B87" s="414" t="s">
        <v>752</v>
      </c>
      <c r="C87" s="422">
        <v>1292754104</v>
      </c>
      <c r="E87" s="412">
        <f t="shared" si="1"/>
        <v>1292754104</v>
      </c>
      <c r="F87" s="412" t="e">
        <f>VLOOKUP(A87,'[2]BASE SAP 2022'!B:E,4,FALSE)-E87</f>
        <v>#N/A</v>
      </c>
      <c r="G87" s="419">
        <f>VLOOKUP(A87,'[3]base BG'!C:E,3,FALSE)-E87</f>
        <v>0</v>
      </c>
    </row>
    <row r="88" spans="1:7" x14ac:dyDescent="0.2">
      <c r="A88" s="414" t="s">
        <v>753</v>
      </c>
      <c r="B88" s="414" t="s">
        <v>754</v>
      </c>
      <c r="C88" s="422">
        <v>1259962294</v>
      </c>
      <c r="E88" s="412">
        <f t="shared" si="1"/>
        <v>1259962294</v>
      </c>
      <c r="F88" s="412" t="e">
        <f>VLOOKUP(A88,'[2]BASE SAP 2022'!B:E,4,FALSE)-E88</f>
        <v>#N/A</v>
      </c>
      <c r="G88" s="419">
        <f>VLOOKUP(A88,'[3]base BG'!C:E,3,FALSE)-E88</f>
        <v>0</v>
      </c>
    </row>
    <row r="89" spans="1:7" x14ac:dyDescent="0.2">
      <c r="A89" s="414" t="s">
        <v>755</v>
      </c>
      <c r="B89" s="414" t="s">
        <v>756</v>
      </c>
      <c r="C89" s="422">
        <v>14499710</v>
      </c>
      <c r="E89" s="412">
        <f t="shared" si="1"/>
        <v>14499710</v>
      </c>
      <c r="F89" s="412" t="e">
        <f>VLOOKUP(A89,'[2]BASE SAP 2022'!B:E,4,FALSE)-E89</f>
        <v>#N/A</v>
      </c>
      <c r="G89" s="419">
        <f>VLOOKUP(A89,'[3]base BG'!C:E,3,FALSE)-E89</f>
        <v>0</v>
      </c>
    </row>
    <row r="90" spans="1:7" x14ac:dyDescent="0.2">
      <c r="A90" s="414" t="s">
        <v>757</v>
      </c>
      <c r="B90" s="414" t="s">
        <v>758</v>
      </c>
      <c r="C90" s="422">
        <v>39421059</v>
      </c>
      <c r="E90" s="412">
        <f t="shared" si="1"/>
        <v>39421059</v>
      </c>
      <c r="F90" s="412" t="e">
        <f>VLOOKUP(A90,'[2]BASE SAP 2022'!B:E,4,FALSE)-E90</f>
        <v>#N/A</v>
      </c>
      <c r="G90" s="419">
        <f>VLOOKUP(A90,'[3]base BG'!C:E,3,FALSE)-E90</f>
        <v>0</v>
      </c>
    </row>
    <row r="91" spans="1:7" x14ac:dyDescent="0.2">
      <c r="A91" s="414" t="s">
        <v>759</v>
      </c>
      <c r="B91" s="414" t="s">
        <v>760</v>
      </c>
      <c r="C91" s="422">
        <v>1514991507</v>
      </c>
      <c r="E91" s="412">
        <f t="shared" si="1"/>
        <v>1514991507</v>
      </c>
      <c r="F91" s="412" t="e">
        <f>VLOOKUP(A91,'[2]BASE SAP 2022'!B:E,4,FALSE)-E91</f>
        <v>#N/A</v>
      </c>
      <c r="G91" s="419">
        <f>VLOOKUP(A91,'[3]base BG'!C:E,3,FALSE)-E91</f>
        <v>0</v>
      </c>
    </row>
    <row r="92" spans="1:7" x14ac:dyDescent="0.2">
      <c r="A92" s="414" t="s">
        <v>761</v>
      </c>
      <c r="B92" s="414" t="s">
        <v>762</v>
      </c>
      <c r="C92" s="422">
        <v>5076740984</v>
      </c>
      <c r="E92" s="412">
        <f t="shared" si="1"/>
        <v>5076740984</v>
      </c>
      <c r="F92" s="412" t="e">
        <f>VLOOKUP(A92,'[2]BASE SAP 2022'!B:E,4,FALSE)-E92</f>
        <v>#N/A</v>
      </c>
      <c r="G92" s="419">
        <f>VLOOKUP(A92,'[3]base BG'!C:E,3,FALSE)-E92</f>
        <v>0</v>
      </c>
    </row>
    <row r="93" spans="1:7" x14ac:dyDescent="0.2">
      <c r="A93" s="414" t="s">
        <v>763</v>
      </c>
      <c r="B93" s="414" t="s">
        <v>764</v>
      </c>
      <c r="C93" s="422">
        <v>-557698216</v>
      </c>
      <c r="E93" s="412">
        <f t="shared" si="1"/>
        <v>-557698216</v>
      </c>
      <c r="F93" s="412" t="e">
        <f>VLOOKUP(A93,'[2]BASE SAP 2022'!B:E,4,FALSE)-E93</f>
        <v>#N/A</v>
      </c>
      <c r="G93" s="419">
        <f>VLOOKUP(A93,'[3]base BG'!C:E,3,FALSE)-E93</f>
        <v>0</v>
      </c>
    </row>
    <row r="94" spans="1:7" x14ac:dyDescent="0.2">
      <c r="A94" s="414" t="s">
        <v>765</v>
      </c>
      <c r="B94" s="414" t="s">
        <v>766</v>
      </c>
      <c r="C94" s="422">
        <v>4285767073</v>
      </c>
      <c r="E94" s="412">
        <f t="shared" si="1"/>
        <v>4285767073</v>
      </c>
      <c r="F94" s="412" t="e">
        <f>VLOOKUP(A94,'[2]BASE SAP 2022'!B:E,4,FALSE)-E94</f>
        <v>#N/A</v>
      </c>
      <c r="G94" s="419">
        <f>VLOOKUP(A94,'[3]base BG'!C:E,3,FALSE)-E94</f>
        <v>0</v>
      </c>
    </row>
    <row r="95" spans="1:7" x14ac:dyDescent="0.2">
      <c r="A95" s="414" t="s">
        <v>772</v>
      </c>
      <c r="B95" s="414" t="s">
        <v>287</v>
      </c>
      <c r="C95" s="422">
        <v>12722319633</v>
      </c>
      <c r="E95" s="412">
        <f t="shared" si="1"/>
        <v>12722319633</v>
      </c>
      <c r="F95" s="412" t="e">
        <f>VLOOKUP(A95,'[2]BASE SAP 2022'!B:E,4,FALSE)-E95</f>
        <v>#N/A</v>
      </c>
      <c r="G95" s="419">
        <f>VLOOKUP(A95,'[3]base BG'!C:E,3,FALSE)-E95</f>
        <v>0</v>
      </c>
    </row>
    <row r="96" spans="1:7" x14ac:dyDescent="0.2">
      <c r="A96" s="414" t="s">
        <v>773</v>
      </c>
      <c r="B96" s="414" t="s">
        <v>774</v>
      </c>
      <c r="C96" s="422">
        <v>86176965194</v>
      </c>
      <c r="E96" s="412">
        <f t="shared" si="1"/>
        <v>86176965194</v>
      </c>
      <c r="F96" s="412" t="e">
        <f>VLOOKUP(A96,'[2]BASE SAP 2022'!B:E,4,FALSE)-E96</f>
        <v>#N/A</v>
      </c>
      <c r="G96" s="419">
        <f>VLOOKUP(A96,'[3]base BG'!C:E,3,FALSE)-E96</f>
        <v>0</v>
      </c>
    </row>
    <row r="97" spans="1:7" x14ac:dyDescent="0.2">
      <c r="A97" s="414" t="s">
        <v>775</v>
      </c>
      <c r="B97" s="414" t="s">
        <v>776</v>
      </c>
      <c r="C97" s="422">
        <v>-15004192574</v>
      </c>
      <c r="E97" s="412">
        <f t="shared" si="1"/>
        <v>-15004192574</v>
      </c>
      <c r="F97" s="412" t="e">
        <f>VLOOKUP(A97,'[2]BASE SAP 2022'!B:E,4,FALSE)-E97</f>
        <v>#N/A</v>
      </c>
      <c r="G97" s="419">
        <f>VLOOKUP(A97,'[3]base BG'!C:E,3,FALSE)-E97</f>
        <v>0</v>
      </c>
    </row>
    <row r="98" spans="1:7" x14ac:dyDescent="0.2">
      <c r="A98" s="414" t="s">
        <v>777</v>
      </c>
      <c r="B98" s="414" t="s">
        <v>289</v>
      </c>
      <c r="C98" s="422">
        <v>4188758033</v>
      </c>
      <c r="E98" s="412">
        <f t="shared" si="1"/>
        <v>4188758033</v>
      </c>
      <c r="F98" s="412" t="e">
        <f>VLOOKUP(A98,'[2]BASE SAP 2022'!B:E,4,FALSE)-E98</f>
        <v>#N/A</v>
      </c>
      <c r="G98" s="419">
        <f>VLOOKUP(A98,'[3]base BG'!C:E,3,FALSE)-E98</f>
        <v>0</v>
      </c>
    </row>
    <row r="99" spans="1:7" x14ac:dyDescent="0.2">
      <c r="A99" s="414" t="s">
        <v>778</v>
      </c>
      <c r="B99" s="414" t="s">
        <v>486</v>
      </c>
      <c r="C99" s="422">
        <v>15987204525</v>
      </c>
      <c r="E99" s="412">
        <f t="shared" si="1"/>
        <v>15987204525</v>
      </c>
      <c r="F99" s="412" t="e">
        <f>VLOOKUP(A99,'[2]BASE SAP 2022'!B:E,4,FALSE)-E99</f>
        <v>#N/A</v>
      </c>
      <c r="G99" s="419">
        <f>VLOOKUP(A99,'[3]base BG'!C:E,3,FALSE)-E99</f>
        <v>0</v>
      </c>
    </row>
    <row r="100" spans="1:7" x14ac:dyDescent="0.2">
      <c r="A100" s="414" t="s">
        <v>779</v>
      </c>
      <c r="B100" s="414" t="s">
        <v>780</v>
      </c>
      <c r="C100" s="422">
        <v>-3176287341</v>
      </c>
      <c r="E100" s="412">
        <f t="shared" si="1"/>
        <v>-3176287341</v>
      </c>
      <c r="F100" s="412" t="e">
        <f>VLOOKUP(A100,'[2]BASE SAP 2022'!B:E,4,FALSE)-E100</f>
        <v>#N/A</v>
      </c>
      <c r="G100" s="419">
        <f>VLOOKUP(A100,'[3]base BG'!C:E,3,FALSE)-E100</f>
        <v>0</v>
      </c>
    </row>
    <row r="101" spans="1:7" x14ac:dyDescent="0.2">
      <c r="A101" s="414" t="s">
        <v>781</v>
      </c>
      <c r="B101" s="414" t="s">
        <v>782</v>
      </c>
      <c r="C101" s="422">
        <v>87024011314</v>
      </c>
      <c r="E101" s="412">
        <f t="shared" si="1"/>
        <v>87024011314</v>
      </c>
      <c r="F101" s="412" t="e">
        <f>VLOOKUP(A101,'[2]BASE SAP 2022'!B:E,4,FALSE)-E101</f>
        <v>#N/A</v>
      </c>
      <c r="G101" s="419">
        <f>VLOOKUP(A101,'[3]base BG'!C:E,3,FALSE)-E101</f>
        <v>0</v>
      </c>
    </row>
    <row r="102" spans="1:7" x14ac:dyDescent="0.2">
      <c r="A102" s="414" t="s">
        <v>783</v>
      </c>
      <c r="B102" s="414" t="s">
        <v>784</v>
      </c>
      <c r="C102" s="422">
        <v>-45312277286</v>
      </c>
      <c r="E102" s="412">
        <f t="shared" si="1"/>
        <v>-45312277286</v>
      </c>
      <c r="F102" s="412" t="e">
        <f>VLOOKUP(A102,'[2]BASE SAP 2022'!B:E,4,FALSE)-E102</f>
        <v>#N/A</v>
      </c>
      <c r="G102" s="419">
        <f>VLOOKUP(A102,'[3]base BG'!C:E,3,FALSE)-E102</f>
        <v>0</v>
      </c>
    </row>
    <row r="103" spans="1:7" x14ac:dyDescent="0.2">
      <c r="A103" s="414" t="s">
        <v>785</v>
      </c>
      <c r="B103" s="414" t="s">
        <v>291</v>
      </c>
      <c r="C103" s="422">
        <v>688407993</v>
      </c>
      <c r="E103" s="412">
        <f t="shared" si="1"/>
        <v>688407993</v>
      </c>
      <c r="F103" s="412" t="e">
        <f>VLOOKUP(A103,'[2]BASE SAP 2022'!B:E,4,FALSE)-E103</f>
        <v>#N/A</v>
      </c>
      <c r="G103" s="419">
        <f>VLOOKUP(A103,'[3]base BG'!C:E,3,FALSE)-E103</f>
        <v>0</v>
      </c>
    </row>
    <row r="104" spans="1:7" x14ac:dyDescent="0.2">
      <c r="A104" s="414" t="s">
        <v>786</v>
      </c>
      <c r="B104" s="414" t="s">
        <v>787</v>
      </c>
      <c r="C104" s="422">
        <v>-591181160</v>
      </c>
      <c r="E104" s="412">
        <f t="shared" si="1"/>
        <v>-591181160</v>
      </c>
      <c r="F104" s="412" t="e">
        <f>VLOOKUP(A104,'[2]BASE SAP 2022'!B:E,4,FALSE)-E104</f>
        <v>#N/A</v>
      </c>
      <c r="G104" s="419">
        <f>VLOOKUP(A104,'[3]base BG'!C:E,3,FALSE)-E104</f>
        <v>0</v>
      </c>
    </row>
    <row r="105" spans="1:7" x14ac:dyDescent="0.2">
      <c r="A105" s="414" t="s">
        <v>788</v>
      </c>
      <c r="B105" s="414" t="s">
        <v>789</v>
      </c>
      <c r="C105" s="422">
        <v>2890532162</v>
      </c>
      <c r="E105" s="412">
        <f t="shared" si="1"/>
        <v>2890532162</v>
      </c>
      <c r="F105" s="412" t="e">
        <f>VLOOKUP(A105,'[2]BASE SAP 2022'!B:E,4,FALSE)-E105</f>
        <v>#N/A</v>
      </c>
      <c r="G105" s="419">
        <f>VLOOKUP(A105,'[3]base BG'!C:E,3,FALSE)-E105</f>
        <v>0</v>
      </c>
    </row>
    <row r="106" spans="1:7" x14ac:dyDescent="0.2">
      <c r="A106" s="414" t="s">
        <v>790</v>
      </c>
      <c r="B106" s="414" t="s">
        <v>791</v>
      </c>
      <c r="C106" s="422">
        <v>-1123190969</v>
      </c>
      <c r="E106" s="412">
        <f t="shared" si="1"/>
        <v>-1123190969</v>
      </c>
      <c r="F106" s="412" t="e">
        <f>VLOOKUP(A106,'[2]BASE SAP 2022'!B:E,4,FALSE)-E106</f>
        <v>#N/A</v>
      </c>
      <c r="G106" s="419">
        <f>VLOOKUP(A106,'[3]base BG'!C:E,3,FALSE)-E106</f>
        <v>0</v>
      </c>
    </row>
    <row r="107" spans="1:7" x14ac:dyDescent="0.2">
      <c r="A107" s="414" t="s">
        <v>792</v>
      </c>
      <c r="B107" s="414" t="s">
        <v>793</v>
      </c>
      <c r="C107" s="422">
        <v>889367988</v>
      </c>
      <c r="E107" s="412">
        <f t="shared" si="1"/>
        <v>889367988</v>
      </c>
      <c r="F107" s="412" t="e">
        <f>VLOOKUP(A107,'[2]BASE SAP 2022'!B:E,4,FALSE)-E107</f>
        <v>#N/A</v>
      </c>
      <c r="G107" s="419">
        <f>VLOOKUP(A107,'[3]base BG'!C:E,3,FALSE)-E107</f>
        <v>0</v>
      </c>
    </row>
    <row r="108" spans="1:7" x14ac:dyDescent="0.2">
      <c r="A108" s="414" t="s">
        <v>794</v>
      </c>
      <c r="B108" s="414" t="s">
        <v>795</v>
      </c>
      <c r="C108" s="422">
        <v>-235975480</v>
      </c>
      <c r="E108" s="412">
        <f t="shared" si="1"/>
        <v>-235975480</v>
      </c>
      <c r="F108" s="412" t="e">
        <f>VLOOKUP(A108,'[2]BASE SAP 2022'!B:E,4,FALSE)-E108</f>
        <v>#N/A</v>
      </c>
      <c r="G108" s="419">
        <f>VLOOKUP(A108,'[3]base BG'!C:E,3,FALSE)-E108</f>
        <v>0</v>
      </c>
    </row>
    <row r="109" spans="1:7" x14ac:dyDescent="0.2">
      <c r="A109" s="414" t="s">
        <v>796</v>
      </c>
      <c r="B109" s="414" t="s">
        <v>797</v>
      </c>
      <c r="C109" s="422">
        <v>3111957066</v>
      </c>
      <c r="E109" s="412">
        <f t="shared" si="1"/>
        <v>3111957066</v>
      </c>
      <c r="F109" s="412" t="e">
        <f>VLOOKUP(A109,'[2]BASE SAP 2022'!B:E,4,FALSE)-E109</f>
        <v>#N/A</v>
      </c>
      <c r="G109" s="419">
        <f>VLOOKUP(A109,'[3]base BG'!C:E,3,FALSE)-E109</f>
        <v>0</v>
      </c>
    </row>
    <row r="110" spans="1:7" x14ac:dyDescent="0.2">
      <c r="A110" s="414" t="s">
        <v>798</v>
      </c>
      <c r="B110" s="414" t="s">
        <v>799</v>
      </c>
      <c r="C110" s="422">
        <v>-2263699485</v>
      </c>
      <c r="E110" s="412">
        <f t="shared" si="1"/>
        <v>-2263699485</v>
      </c>
      <c r="F110" s="412" t="e">
        <f>VLOOKUP(A110,'[2]BASE SAP 2022'!B:E,4,FALSE)-E110</f>
        <v>#N/A</v>
      </c>
      <c r="G110" s="419">
        <f>VLOOKUP(A110,'[3]base BG'!C:E,3,FALSE)-E110</f>
        <v>0</v>
      </c>
    </row>
    <row r="111" spans="1:7" x14ac:dyDescent="0.2">
      <c r="A111" s="414" t="s">
        <v>800</v>
      </c>
      <c r="B111" s="414" t="s">
        <v>801</v>
      </c>
      <c r="C111" s="422">
        <v>3720478307</v>
      </c>
      <c r="E111" s="412">
        <f t="shared" si="1"/>
        <v>3720478307</v>
      </c>
      <c r="F111" s="412" t="e">
        <f>VLOOKUP(A111,'[2]BASE SAP 2022'!B:E,4,FALSE)-E111</f>
        <v>#N/A</v>
      </c>
      <c r="G111" s="419">
        <f>VLOOKUP(A111,'[3]base BG'!C:E,3,FALSE)-E111</f>
        <v>0</v>
      </c>
    </row>
    <row r="112" spans="1:7" x14ac:dyDescent="0.2">
      <c r="A112" s="414" t="s">
        <v>802</v>
      </c>
      <c r="B112" s="414" t="s">
        <v>803</v>
      </c>
      <c r="C112" s="422">
        <v>-2747718741</v>
      </c>
      <c r="E112" s="412">
        <f t="shared" si="1"/>
        <v>-2747718741</v>
      </c>
      <c r="F112" s="412" t="e">
        <f>VLOOKUP(A112,'[2]BASE SAP 2022'!B:E,4,FALSE)-E112</f>
        <v>#N/A</v>
      </c>
      <c r="G112" s="419">
        <f>VLOOKUP(A112,'[3]base BG'!C:E,3,FALSE)-E112</f>
        <v>0</v>
      </c>
    </row>
    <row r="113" spans="1:10" x14ac:dyDescent="0.2">
      <c r="A113" s="414" t="s">
        <v>806</v>
      </c>
      <c r="B113" s="414" t="s">
        <v>807</v>
      </c>
      <c r="C113" s="422">
        <v>3858338026</v>
      </c>
      <c r="E113" s="412">
        <f t="shared" si="1"/>
        <v>3858338026</v>
      </c>
      <c r="F113" s="412" t="e">
        <f>VLOOKUP(A113,'[2]BASE SAP 2022'!B:E,4,FALSE)-E113</f>
        <v>#N/A</v>
      </c>
      <c r="G113" s="419">
        <f>VLOOKUP(A113,'[3]base BG'!C:E,3,FALSE)-E113</f>
        <v>0</v>
      </c>
    </row>
    <row r="114" spans="1:10" x14ac:dyDescent="0.2">
      <c r="A114" s="414" t="s">
        <v>808</v>
      </c>
      <c r="B114" s="414" t="s">
        <v>809</v>
      </c>
      <c r="C114" s="422">
        <v>86016067</v>
      </c>
      <c r="E114" s="412">
        <f t="shared" si="1"/>
        <v>86016067</v>
      </c>
      <c r="F114" s="412" t="e">
        <f>VLOOKUP(A114,'[2]BASE SAP 2022'!B:E,4,FALSE)-E114</f>
        <v>#N/A</v>
      </c>
      <c r="G114" s="419">
        <f>VLOOKUP(A114,'[3]base BG'!C:E,3,FALSE)-E114</f>
        <v>0</v>
      </c>
    </row>
    <row r="115" spans="1:10" x14ac:dyDescent="0.2">
      <c r="A115" s="414" t="s">
        <v>810</v>
      </c>
      <c r="B115" s="414" t="s">
        <v>811</v>
      </c>
      <c r="C115" s="422">
        <v>-11404870</v>
      </c>
      <c r="E115" s="412">
        <f t="shared" si="1"/>
        <v>-11404870</v>
      </c>
      <c r="F115" s="412" t="e">
        <f>VLOOKUP(A115,'[2]BASE SAP 2022'!B:E,4,FALSE)-E115</f>
        <v>#N/A</v>
      </c>
      <c r="G115" s="419">
        <f>VLOOKUP(A115,'[3]base BG'!C:E,3,FALSE)-E115</f>
        <v>0</v>
      </c>
    </row>
    <row r="116" spans="1:10" x14ac:dyDescent="0.2">
      <c r="A116" s="414" t="s">
        <v>812</v>
      </c>
      <c r="B116" s="414" t="s">
        <v>813</v>
      </c>
      <c r="C116" s="422">
        <v>1777966464</v>
      </c>
      <c r="E116" s="412">
        <f t="shared" si="1"/>
        <v>1777966464</v>
      </c>
      <c r="F116" s="412" t="e">
        <f>VLOOKUP(A116,'[2]BASE SAP 2022'!B:E,4,FALSE)-E116</f>
        <v>#N/A</v>
      </c>
      <c r="G116" s="419">
        <f>VLOOKUP(A116,'[3]base BG'!C:E,3,FALSE)-E116</f>
        <v>0</v>
      </c>
    </row>
    <row r="117" spans="1:10" x14ac:dyDescent="0.2">
      <c r="A117" s="414" t="s">
        <v>818</v>
      </c>
      <c r="B117" s="414" t="s">
        <v>819</v>
      </c>
      <c r="C117" s="422">
        <v>330259024</v>
      </c>
      <c r="E117" s="412">
        <f t="shared" si="1"/>
        <v>330259024</v>
      </c>
      <c r="F117" s="412" t="e">
        <f>VLOOKUP(A117,'[2]BASE SAP 2022'!B:E,4,FALSE)-E117</f>
        <v>#N/A</v>
      </c>
      <c r="G117" s="419">
        <f>VLOOKUP(A117,'[3]base BG'!C:E,3,FALSE)-E117</f>
        <v>0</v>
      </c>
    </row>
    <row r="118" spans="1:10" x14ac:dyDescent="0.2">
      <c r="A118" s="414" t="s">
        <v>822</v>
      </c>
      <c r="B118" s="414" t="s">
        <v>823</v>
      </c>
      <c r="C118" s="422">
        <v>112819291</v>
      </c>
      <c r="E118" s="412">
        <f t="shared" si="1"/>
        <v>112819291</v>
      </c>
      <c r="F118" s="412" t="e">
        <f>VLOOKUP(A118,'[2]BASE SAP 2022'!B:E,4,FALSE)-E118</f>
        <v>#N/A</v>
      </c>
      <c r="G118" s="419">
        <f>VLOOKUP(A118,'[3]base BG'!C:E,3,FALSE)-E118</f>
        <v>0</v>
      </c>
    </row>
    <row r="119" spans="1:10" x14ac:dyDescent="0.2">
      <c r="A119" s="414" t="s">
        <v>824</v>
      </c>
      <c r="B119" s="414" t="s">
        <v>825</v>
      </c>
      <c r="C119" s="422">
        <v>363630996</v>
      </c>
      <c r="E119" s="412">
        <f t="shared" si="1"/>
        <v>363630996</v>
      </c>
      <c r="F119" s="412" t="e">
        <f>VLOOKUP(A119,'[2]BASE SAP 2022'!B:E,4,FALSE)-E119</f>
        <v>#N/A</v>
      </c>
      <c r="G119" s="419">
        <f>VLOOKUP(A119,'[3]base BG'!C:E,3,FALSE)-E119</f>
        <v>0</v>
      </c>
    </row>
    <row r="120" spans="1:10" x14ac:dyDescent="0.2">
      <c r="A120" s="414" t="s">
        <v>826</v>
      </c>
      <c r="B120" s="414" t="s">
        <v>827</v>
      </c>
      <c r="C120" s="422">
        <v>6959454932</v>
      </c>
      <c r="E120" s="412">
        <f t="shared" si="1"/>
        <v>6959454932</v>
      </c>
      <c r="F120" s="412" t="e">
        <f>VLOOKUP(A120,'[2]BASE SAP 2022'!B:E,4,FALSE)-E120</f>
        <v>#N/A</v>
      </c>
      <c r="G120" s="419">
        <f>VLOOKUP(A120,'[3]base BG'!C:E,3,FALSE)-E120</f>
        <v>0</v>
      </c>
    </row>
    <row r="121" spans="1:10" x14ac:dyDescent="0.2">
      <c r="A121" s="414" t="s">
        <v>828</v>
      </c>
      <c r="B121" s="414" t="s">
        <v>829</v>
      </c>
      <c r="C121" s="422">
        <v>1139913637</v>
      </c>
      <c r="E121" s="412">
        <f t="shared" si="1"/>
        <v>1139913637</v>
      </c>
      <c r="F121" s="412" t="e">
        <f>VLOOKUP(A121,'[2]BASE SAP 2022'!B:E,4,FALSE)-E121</f>
        <v>#N/A</v>
      </c>
      <c r="G121" s="419">
        <f>VLOOKUP(A121,'[3]base BG'!C:E,3,FALSE)-E121</f>
        <v>0</v>
      </c>
      <c r="H121" s="419">
        <f>+C122+C68</f>
        <v>16418275406</v>
      </c>
    </row>
    <row r="122" spans="1:10" x14ac:dyDescent="0.2">
      <c r="A122" s="414" t="s">
        <v>830</v>
      </c>
      <c r="B122" s="414" t="s">
        <v>831</v>
      </c>
      <c r="C122" s="422">
        <v>9593487403</v>
      </c>
      <c r="D122" s="412">
        <v>0</v>
      </c>
      <c r="E122" s="412">
        <f t="shared" si="1"/>
        <v>9593487403</v>
      </c>
      <c r="F122" s="412" t="e">
        <f>VLOOKUP(A122,'[2]BASE SAP 2022'!B:E,4,FALSE)-E122</f>
        <v>#N/A</v>
      </c>
      <c r="G122" s="419">
        <f>VLOOKUP(A122,'[3]base BG'!C:E,3,FALSE)-E122</f>
        <v>-19186974806</v>
      </c>
      <c r="H122" s="419">
        <f>SUM(C1:C122)</f>
        <v>429286011948</v>
      </c>
      <c r="I122" s="419">
        <f>+H122-BG!F23</f>
        <v>17243737242</v>
      </c>
      <c r="J122" s="419">
        <f>+H121-I122</f>
        <v>-825461836</v>
      </c>
    </row>
    <row r="123" spans="1:10" x14ac:dyDescent="0.2">
      <c r="A123" s="414" t="s">
        <v>833</v>
      </c>
      <c r="B123" s="414" t="s">
        <v>304</v>
      </c>
      <c r="C123" s="422">
        <v>10154083837</v>
      </c>
      <c r="D123" s="412">
        <v>-7623180367</v>
      </c>
      <c r="E123" s="412">
        <f t="shared" si="1"/>
        <v>2530903470</v>
      </c>
      <c r="F123" s="412" t="e">
        <f>-VLOOKUP(A123,'[2]BASE SAP 2022'!B:E,4,FALSE)-E123</f>
        <v>#N/A</v>
      </c>
      <c r="G123" s="419">
        <f>VLOOKUP(A123,'[3]base BG'!C:E,3,FALSE)-E123</f>
        <v>0</v>
      </c>
    </row>
    <row r="124" spans="1:10" x14ac:dyDescent="0.2">
      <c r="A124" s="414" t="s">
        <v>834</v>
      </c>
      <c r="B124" s="414" t="s">
        <v>835</v>
      </c>
      <c r="C124" s="422">
        <v>11199874</v>
      </c>
      <c r="E124" s="412">
        <f t="shared" si="1"/>
        <v>11199874</v>
      </c>
      <c r="F124" s="412" t="e">
        <f>-VLOOKUP(A124,'[2]BASE SAP 2022'!B:E,4,FALSE)-E124</f>
        <v>#N/A</v>
      </c>
      <c r="G124" s="419">
        <f>VLOOKUP(A124,'[3]base BG'!C:E,3,FALSE)-E124</f>
        <v>0</v>
      </c>
    </row>
    <row r="125" spans="1:10" x14ac:dyDescent="0.2">
      <c r="A125" s="414" t="s">
        <v>836</v>
      </c>
      <c r="B125" s="414" t="s">
        <v>307</v>
      </c>
      <c r="C125" s="422">
        <v>96261482</v>
      </c>
      <c r="E125" s="412">
        <f t="shared" si="1"/>
        <v>96261482</v>
      </c>
      <c r="F125" s="412" t="e">
        <f>-VLOOKUP(A125,'[2]BASE SAP 2022'!B:E,4,FALSE)-E125</f>
        <v>#N/A</v>
      </c>
      <c r="G125" s="419">
        <f>VLOOKUP(A125,'[3]base BG'!C:E,3,FALSE)-E125</f>
        <v>0</v>
      </c>
    </row>
    <row r="126" spans="1:10" x14ac:dyDescent="0.2">
      <c r="A126" s="414" t="s">
        <v>838</v>
      </c>
      <c r="B126" s="414" t="s">
        <v>839</v>
      </c>
      <c r="C126" s="422">
        <v>4420800</v>
      </c>
      <c r="E126" s="412">
        <f t="shared" si="1"/>
        <v>4420800</v>
      </c>
      <c r="F126" s="412" t="e">
        <f>-VLOOKUP(A126,'[2]BASE SAP 2022'!B:E,4,FALSE)-E126</f>
        <v>#N/A</v>
      </c>
      <c r="G126" s="419">
        <f>VLOOKUP(A126,'[3]base BG'!C:E,3,FALSE)-E126</f>
        <v>0</v>
      </c>
    </row>
    <row r="127" spans="1:10" x14ac:dyDescent="0.2">
      <c r="A127" s="414" t="s">
        <v>842</v>
      </c>
      <c r="B127" s="414" t="s">
        <v>843</v>
      </c>
      <c r="C127" s="422">
        <v>4190000</v>
      </c>
      <c r="E127" s="412">
        <f t="shared" si="1"/>
        <v>4190000</v>
      </c>
      <c r="F127" s="412" t="e">
        <f>-VLOOKUP(A127,'[2]BASE SAP 2022'!B:E,4,FALSE)-E127</f>
        <v>#N/A</v>
      </c>
      <c r="G127" s="419">
        <f>VLOOKUP(A127,'[3]base BG'!C:E,3,FALSE)-E127</f>
        <v>0</v>
      </c>
    </row>
    <row r="128" spans="1:10" x14ac:dyDescent="0.2">
      <c r="A128" s="414" t="s">
        <v>844</v>
      </c>
      <c r="B128" s="414" t="s">
        <v>845</v>
      </c>
      <c r="C128" s="422">
        <v>2454625</v>
      </c>
      <c r="E128" s="412">
        <f t="shared" si="1"/>
        <v>2454625</v>
      </c>
      <c r="F128" s="412" t="e">
        <f>-VLOOKUP(A128,'[2]BASE SAP 2022'!B:E,4,FALSE)-E128</f>
        <v>#N/A</v>
      </c>
      <c r="G128" s="419">
        <f>VLOOKUP(A128,'[3]base BG'!C:E,3,FALSE)-E128</f>
        <v>0</v>
      </c>
    </row>
    <row r="129" spans="1:8" x14ac:dyDescent="0.2">
      <c r="A129" s="414" t="s">
        <v>846</v>
      </c>
      <c r="B129" s="414" t="s">
        <v>847</v>
      </c>
      <c r="C129" s="422">
        <v>130500</v>
      </c>
      <c r="E129" s="412">
        <f t="shared" si="1"/>
        <v>130500</v>
      </c>
      <c r="F129" s="412" t="e">
        <f>-VLOOKUP(A129,'[2]BASE SAP 2022'!B:E,4,FALSE)-E129</f>
        <v>#N/A</v>
      </c>
      <c r="G129" s="419">
        <f>VLOOKUP(A129,'[3]base BG'!C:E,3,FALSE)-E129</f>
        <v>0</v>
      </c>
    </row>
    <row r="130" spans="1:8" x14ac:dyDescent="0.2">
      <c r="A130" s="414" t="s">
        <v>848</v>
      </c>
      <c r="B130" s="414" t="s">
        <v>849</v>
      </c>
      <c r="C130" s="422">
        <v>1272000</v>
      </c>
      <c r="E130" s="412">
        <f t="shared" si="1"/>
        <v>1272000</v>
      </c>
      <c r="F130" s="412" t="e">
        <f>-VLOOKUP(A130,'[2]BASE SAP 2022'!B:E,4,FALSE)-E130</f>
        <v>#N/A</v>
      </c>
      <c r="G130" s="419">
        <f>VLOOKUP(A130,'[3]base BG'!C:E,3,FALSE)-E130</f>
        <v>0</v>
      </c>
    </row>
    <row r="131" spans="1:8" x14ac:dyDescent="0.2">
      <c r="A131" s="414" t="s">
        <v>850</v>
      </c>
      <c r="B131" s="414" t="s">
        <v>851</v>
      </c>
      <c r="C131" s="422">
        <v>6230430</v>
      </c>
      <c r="E131" s="412">
        <f t="shared" ref="E131:E194" si="2">+C131+D131</f>
        <v>6230430</v>
      </c>
      <c r="F131" s="412" t="e">
        <f>-VLOOKUP(A131,'[2]BASE SAP 2022'!B:E,4,FALSE)-E131</f>
        <v>#N/A</v>
      </c>
      <c r="G131" s="419">
        <f>VLOOKUP(A131,'[3]base BG'!C:E,3,FALSE)-E131</f>
        <v>0</v>
      </c>
    </row>
    <row r="132" spans="1:8" x14ac:dyDescent="0.2">
      <c r="A132" s="414" t="s">
        <v>852</v>
      </c>
      <c r="B132" s="414" t="s">
        <v>853</v>
      </c>
      <c r="C132" s="422">
        <v>2839214</v>
      </c>
      <c r="E132" s="412">
        <f t="shared" si="2"/>
        <v>2839214</v>
      </c>
      <c r="F132" s="412" t="e">
        <f>-VLOOKUP(A132,'[2]BASE SAP 2022'!B:E,4,FALSE)-E132</f>
        <v>#N/A</v>
      </c>
      <c r="G132" s="419">
        <f>VLOOKUP(A132,'[3]base BG'!C:E,3,FALSE)-E132</f>
        <v>0</v>
      </c>
    </row>
    <row r="133" spans="1:8" x14ac:dyDescent="0.2">
      <c r="A133" s="414" t="s">
        <v>854</v>
      </c>
      <c r="B133" s="414" t="s">
        <v>855</v>
      </c>
      <c r="C133" s="422">
        <v>647810</v>
      </c>
      <c r="E133" s="412">
        <f t="shared" si="2"/>
        <v>647810</v>
      </c>
      <c r="F133" s="412" t="e">
        <f>-VLOOKUP(A133,'[2]BASE SAP 2022'!B:E,4,FALSE)-E133</f>
        <v>#N/A</v>
      </c>
      <c r="G133" s="419">
        <f>VLOOKUP(A133,'[3]base BG'!C:E,3,FALSE)-E133</f>
        <v>0</v>
      </c>
    </row>
    <row r="134" spans="1:8" x14ac:dyDescent="0.2">
      <c r="A134" s="414" t="s">
        <v>856</v>
      </c>
      <c r="B134" s="414" t="s">
        <v>857</v>
      </c>
      <c r="C134" s="422">
        <v>1543000</v>
      </c>
      <c r="E134" s="412">
        <f t="shared" si="2"/>
        <v>1543000</v>
      </c>
      <c r="F134" s="412" t="e">
        <f>-VLOOKUP(A134,'[2]BASE SAP 2022'!B:E,4,FALSE)-E134</f>
        <v>#N/A</v>
      </c>
      <c r="G134" s="419">
        <f>VLOOKUP(A134,'[3]base BG'!C:E,3,FALSE)-E134</f>
        <v>0</v>
      </c>
    </row>
    <row r="135" spans="1:8" x14ac:dyDescent="0.2">
      <c r="A135" s="414" t="s">
        <v>858</v>
      </c>
      <c r="B135" s="414" t="s">
        <v>859</v>
      </c>
      <c r="C135" s="422">
        <v>1282705</v>
      </c>
      <c r="E135" s="412">
        <f t="shared" si="2"/>
        <v>1282705</v>
      </c>
      <c r="F135" s="412" t="e">
        <f>-VLOOKUP(A135,'[2]BASE SAP 2022'!B:E,4,FALSE)-E135</f>
        <v>#N/A</v>
      </c>
      <c r="G135" s="419">
        <f>VLOOKUP(A135,'[3]base BG'!C:E,3,FALSE)-E135</f>
        <v>0</v>
      </c>
    </row>
    <row r="136" spans="1:8" x14ac:dyDescent="0.2">
      <c r="A136" s="414" t="s">
        <v>862</v>
      </c>
      <c r="B136" s="414" t="s">
        <v>861</v>
      </c>
      <c r="C136" s="422">
        <v>707413421</v>
      </c>
      <c r="E136" s="412">
        <f t="shared" si="2"/>
        <v>707413421</v>
      </c>
      <c r="F136" s="412" t="e">
        <f>-VLOOKUP(A136,'[2]BASE SAP 2022'!B:E,4,FALSE)-E136</f>
        <v>#N/A</v>
      </c>
      <c r="G136" s="419">
        <f>VLOOKUP(A136,'[3]base BG'!C:E,3,FALSE)-E136</f>
        <v>0</v>
      </c>
    </row>
    <row r="137" spans="1:8" x14ac:dyDescent="0.2">
      <c r="A137" s="414" t="s">
        <v>864</v>
      </c>
      <c r="B137" s="414" t="s">
        <v>863</v>
      </c>
      <c r="C137" s="422">
        <v>265449135</v>
      </c>
      <c r="E137" s="412">
        <f t="shared" si="2"/>
        <v>265449135</v>
      </c>
      <c r="F137" s="412" t="e">
        <f>-VLOOKUP(A137,'[2]BASE SAP 2022'!B:E,4,FALSE)-E137</f>
        <v>#N/A</v>
      </c>
      <c r="G137" s="419">
        <f>VLOOKUP(A137,'[3]base BG'!C:E,3,FALSE)-E137</f>
        <v>0</v>
      </c>
    </row>
    <row r="138" spans="1:8" x14ac:dyDescent="0.2">
      <c r="A138" s="414" t="s">
        <v>866</v>
      </c>
      <c r="B138" s="414" t="s">
        <v>865</v>
      </c>
      <c r="C138" s="422">
        <v>90283013</v>
      </c>
      <c r="E138" s="412">
        <f t="shared" si="2"/>
        <v>90283013</v>
      </c>
      <c r="F138" s="412" t="e">
        <f>-VLOOKUP(A138,'[2]BASE SAP 2022'!B:E,4,FALSE)-E138</f>
        <v>#N/A</v>
      </c>
      <c r="G138" s="419">
        <f>VLOOKUP(A138,'[3]base BG'!C:E,3,FALSE)-E138</f>
        <v>0</v>
      </c>
    </row>
    <row r="139" spans="1:8" x14ac:dyDescent="0.2">
      <c r="A139" s="414" t="s">
        <v>867</v>
      </c>
      <c r="B139" s="414" t="s">
        <v>868</v>
      </c>
      <c r="C139" s="422">
        <v>53696342685</v>
      </c>
      <c r="E139" s="412">
        <f t="shared" si="2"/>
        <v>53696342685</v>
      </c>
      <c r="F139" s="412" t="e">
        <f>-VLOOKUP(A139,'[2]BASE SAP 2022'!B:E,4,FALSE)-E139</f>
        <v>#N/A</v>
      </c>
      <c r="G139" s="419">
        <f>VLOOKUP(A139,'[3]base BG'!C:E,3,FALSE)-E139</f>
        <v>0</v>
      </c>
      <c r="H139" s="418"/>
    </row>
    <row r="140" spans="1:8" x14ac:dyDescent="0.2">
      <c r="A140" s="414" t="s">
        <v>869</v>
      </c>
      <c r="B140" s="414" t="s">
        <v>870</v>
      </c>
      <c r="C140" s="422">
        <v>84557462</v>
      </c>
      <c r="E140" s="412">
        <f t="shared" si="2"/>
        <v>84557462</v>
      </c>
      <c r="F140" s="412" t="e">
        <f>-VLOOKUP(A140,'[2]BASE SAP 2022'!B:E,4,FALSE)-E140</f>
        <v>#N/A</v>
      </c>
      <c r="G140" s="419">
        <f>VLOOKUP(A140,'[3]base BG'!C:E,3,FALSE)-E140</f>
        <v>0</v>
      </c>
    </row>
    <row r="141" spans="1:8" x14ac:dyDescent="0.2">
      <c r="A141" s="414" t="s">
        <v>872</v>
      </c>
      <c r="B141" s="414" t="s">
        <v>515</v>
      </c>
      <c r="C141" s="422">
        <v>5696884803</v>
      </c>
      <c r="E141" s="412">
        <f t="shared" si="2"/>
        <v>5696884803</v>
      </c>
      <c r="F141" s="412" t="e">
        <f>-VLOOKUP(A141,'[2]BASE SAP 2022'!B:E,4,FALSE)-E141</f>
        <v>#N/A</v>
      </c>
      <c r="G141" s="419">
        <f>VLOOKUP(A141,'[3]base BG'!C:E,3,FALSE)-E141</f>
        <v>0</v>
      </c>
    </row>
    <row r="142" spans="1:8" x14ac:dyDescent="0.2">
      <c r="A142" s="414" t="s">
        <v>873</v>
      </c>
      <c r="B142" s="414" t="s">
        <v>874</v>
      </c>
      <c r="C142" s="422">
        <v>4322252</v>
      </c>
      <c r="D142" s="423"/>
      <c r="E142" s="412">
        <f t="shared" si="2"/>
        <v>4322252</v>
      </c>
      <c r="F142" s="423" t="e">
        <f>-VLOOKUP(A142,'[2]BASE SAP 2022'!B:E,4,FALSE)-E142</f>
        <v>#N/A</v>
      </c>
      <c r="G142" s="424">
        <f>VLOOKUP(A142,'[3]base BG'!C:E,3,FALSE)-E142</f>
        <v>0</v>
      </c>
    </row>
    <row r="143" spans="1:8" x14ac:dyDescent="0.2">
      <c r="A143" s="414" t="s">
        <v>875</v>
      </c>
      <c r="B143" s="414" t="s">
        <v>876</v>
      </c>
      <c r="C143" s="422">
        <v>16378207364</v>
      </c>
      <c r="D143" s="412">
        <v>-8925000484</v>
      </c>
      <c r="E143" s="412">
        <f t="shared" si="2"/>
        <v>7453206880</v>
      </c>
      <c r="F143" s="412" t="e">
        <f>-VLOOKUP(A143,'[2]BASE SAP 2022'!B:E,4,FALSE)-E143</f>
        <v>#N/A</v>
      </c>
      <c r="G143" s="419">
        <f>VLOOKUP(A143,'[3]base BG'!C:E,3,FALSE)-E143</f>
        <v>0</v>
      </c>
    </row>
    <row r="144" spans="1:8" x14ac:dyDescent="0.2">
      <c r="A144" s="414" t="s">
        <v>877</v>
      </c>
      <c r="B144" s="414" t="s">
        <v>878</v>
      </c>
      <c r="C144" s="422">
        <v>2850987254</v>
      </c>
      <c r="D144" s="423">
        <v>2626105928.7526398</v>
      </c>
      <c r="E144" s="412">
        <f t="shared" si="2"/>
        <v>5477093182.7526398</v>
      </c>
      <c r="F144" s="423" t="e">
        <f>-VLOOKUP(A144,'[2]BASE SAP 2022'!B:E,4,FALSE)-E144</f>
        <v>#N/A</v>
      </c>
      <c r="G144" s="424">
        <f>VLOOKUP(A144,'[3]base BG'!C:E,3,FALSE)-E144</f>
        <v>0</v>
      </c>
    </row>
    <row r="145" spans="1:7" x14ac:dyDescent="0.2">
      <c r="A145" s="414" t="s">
        <v>879</v>
      </c>
      <c r="B145" s="414" t="s">
        <v>880</v>
      </c>
      <c r="C145" s="422">
        <v>1742807742</v>
      </c>
      <c r="D145" s="423"/>
      <c r="E145" s="412">
        <f t="shared" si="2"/>
        <v>1742807742</v>
      </c>
      <c r="F145" s="423" t="e">
        <f>-VLOOKUP(A145,'[2]BASE SAP 2022'!B:E,4,FALSE)-E145</f>
        <v>#N/A</v>
      </c>
      <c r="G145" s="424">
        <f>VLOOKUP(A145,'[3]base BG'!C:E,3,FALSE)-E145</f>
        <v>0</v>
      </c>
    </row>
    <row r="146" spans="1:7" x14ac:dyDescent="0.2">
      <c r="A146" s="414" t="s">
        <v>882</v>
      </c>
      <c r="B146" s="414" t="s">
        <v>883</v>
      </c>
      <c r="C146" s="422">
        <v>822678385</v>
      </c>
      <c r="E146" s="412">
        <f t="shared" si="2"/>
        <v>822678385</v>
      </c>
      <c r="F146" s="412" t="e">
        <f>-VLOOKUP(A146,'[2]BASE SAP 2022'!B:E,4,FALSE)-E146</f>
        <v>#N/A</v>
      </c>
      <c r="G146" s="419">
        <f>VLOOKUP(A146,'[3]base BG'!C:E,3,FALSE)-E146</f>
        <v>0</v>
      </c>
    </row>
    <row r="147" spans="1:7" x14ac:dyDescent="0.2">
      <c r="A147" s="414" t="s">
        <v>884</v>
      </c>
      <c r="B147" s="414" t="s">
        <v>885</v>
      </c>
      <c r="C147" s="422">
        <v>126131373</v>
      </c>
      <c r="E147" s="412">
        <f t="shared" si="2"/>
        <v>126131373</v>
      </c>
      <c r="F147" s="412" t="e">
        <f>-VLOOKUP(A147,'[2]BASE SAP 2022'!B:E,4,FALSE)-E147</f>
        <v>#N/A</v>
      </c>
      <c r="G147" s="419">
        <f>VLOOKUP(A147,'[3]base BG'!C:E,3,FALSE)-E147</f>
        <v>0</v>
      </c>
    </row>
    <row r="148" spans="1:7" x14ac:dyDescent="0.2">
      <c r="A148" s="414" t="s">
        <v>886</v>
      </c>
      <c r="B148" s="414" t="s">
        <v>887</v>
      </c>
      <c r="C148" s="422">
        <v>86243363</v>
      </c>
      <c r="E148" s="412">
        <f t="shared" si="2"/>
        <v>86243363</v>
      </c>
      <c r="F148" s="412" t="e">
        <f>-VLOOKUP(A148,'[2]BASE SAP 2022'!B:E,4,FALSE)-E148</f>
        <v>#N/A</v>
      </c>
      <c r="G148" s="419">
        <f>VLOOKUP(A148,'[3]base BG'!C:E,3,FALSE)-E148</f>
        <v>0</v>
      </c>
    </row>
    <row r="149" spans="1:7" x14ac:dyDescent="0.2">
      <c r="A149" s="414" t="s">
        <v>888</v>
      </c>
      <c r="B149" s="414" t="s">
        <v>889</v>
      </c>
      <c r="C149" s="422">
        <v>101538019</v>
      </c>
      <c r="E149" s="412">
        <f t="shared" si="2"/>
        <v>101538019</v>
      </c>
      <c r="F149" s="412" t="e">
        <f>-VLOOKUP(A149,'[2]BASE SAP 2022'!B:E,4,FALSE)-E149</f>
        <v>#N/A</v>
      </c>
      <c r="G149" s="419">
        <f>VLOOKUP(A149,'[3]base BG'!C:E,3,FALSE)-E149</f>
        <v>0</v>
      </c>
    </row>
    <row r="150" spans="1:7" x14ac:dyDescent="0.2">
      <c r="A150" s="414" t="s">
        <v>890</v>
      </c>
      <c r="B150" s="414" t="s">
        <v>891</v>
      </c>
      <c r="C150" s="422">
        <v>283627216</v>
      </c>
      <c r="E150" s="412">
        <f t="shared" si="2"/>
        <v>283627216</v>
      </c>
      <c r="F150" s="412" t="e">
        <f>-VLOOKUP(A150,'[2]BASE SAP 2022'!B:E,4,FALSE)-E150</f>
        <v>#N/A</v>
      </c>
      <c r="G150" s="419">
        <f>VLOOKUP(A150,'[3]base BG'!C:E,3,FALSE)-E150</f>
        <v>0</v>
      </c>
    </row>
    <row r="151" spans="1:7" x14ac:dyDescent="0.2">
      <c r="A151" s="414" t="s">
        <v>892</v>
      </c>
      <c r="B151" s="414" t="s">
        <v>893</v>
      </c>
      <c r="C151" s="422">
        <v>49693649</v>
      </c>
      <c r="E151" s="412">
        <f t="shared" si="2"/>
        <v>49693649</v>
      </c>
      <c r="F151" s="412" t="e">
        <f>-VLOOKUP(A151,'[2]BASE SAP 2022'!B:E,4,FALSE)-E151</f>
        <v>#N/A</v>
      </c>
      <c r="G151" s="419">
        <f>VLOOKUP(A151,'[3]base BG'!C:E,3,FALSE)-E151</f>
        <v>0</v>
      </c>
    </row>
    <row r="152" spans="1:7" x14ac:dyDescent="0.2">
      <c r="A152" s="414" t="s">
        <v>894</v>
      </c>
      <c r="B152" s="414" t="s">
        <v>895</v>
      </c>
      <c r="C152" s="422">
        <v>30305425</v>
      </c>
      <c r="E152" s="412">
        <f t="shared" si="2"/>
        <v>30305425</v>
      </c>
      <c r="F152" s="412" t="e">
        <f>-VLOOKUP(A152,'[2]BASE SAP 2022'!B:E,4,FALSE)-E152</f>
        <v>#N/A</v>
      </c>
      <c r="G152" s="419">
        <f>VLOOKUP(A152,'[3]base BG'!C:E,3,FALSE)-E152</f>
        <v>0</v>
      </c>
    </row>
    <row r="153" spans="1:7" x14ac:dyDescent="0.2">
      <c r="A153" s="414" t="s">
        <v>896</v>
      </c>
      <c r="B153" s="414" t="s">
        <v>897</v>
      </c>
      <c r="C153" s="422">
        <v>32670432</v>
      </c>
      <c r="E153" s="412">
        <f t="shared" si="2"/>
        <v>32670432</v>
      </c>
      <c r="F153" s="412" t="e">
        <f>-VLOOKUP(A153,'[2]BASE SAP 2022'!B:E,4,FALSE)-E153</f>
        <v>#N/A</v>
      </c>
      <c r="G153" s="419">
        <f>VLOOKUP(A153,'[3]base BG'!C:E,3,FALSE)-E153</f>
        <v>0</v>
      </c>
    </row>
    <row r="154" spans="1:7" x14ac:dyDescent="0.2">
      <c r="A154" s="414" t="s">
        <v>906</v>
      </c>
      <c r="B154" s="414" t="s">
        <v>907</v>
      </c>
      <c r="C154" s="422">
        <v>1172198</v>
      </c>
      <c r="E154" s="412">
        <f t="shared" si="2"/>
        <v>1172198</v>
      </c>
      <c r="F154" s="412" t="e">
        <f>-VLOOKUP(A154,'[2]BASE SAP 2022'!B:E,4,FALSE)-E154</f>
        <v>#N/A</v>
      </c>
      <c r="G154" s="419">
        <f>VLOOKUP(A154,'[3]base BG'!C:E,3,FALSE)-E154</f>
        <v>0</v>
      </c>
    </row>
    <row r="155" spans="1:7" x14ac:dyDescent="0.2">
      <c r="A155" s="414" t="s">
        <v>910</v>
      </c>
      <c r="B155" s="414" t="s">
        <v>911</v>
      </c>
      <c r="C155" s="422">
        <v>74129275</v>
      </c>
      <c r="E155" s="412">
        <f t="shared" si="2"/>
        <v>74129275</v>
      </c>
      <c r="F155" s="412" t="e">
        <f>-VLOOKUP(A155,'[2]BASE SAP 2022'!B:E,4,FALSE)-E155</f>
        <v>#N/A</v>
      </c>
      <c r="G155" s="419">
        <f>VLOOKUP(A155,'[3]base BG'!C:E,3,FALSE)-E155</f>
        <v>0</v>
      </c>
    </row>
    <row r="156" spans="1:7" x14ac:dyDescent="0.2">
      <c r="A156" s="414" t="s">
        <v>912</v>
      </c>
      <c r="B156" s="414" t="s">
        <v>913</v>
      </c>
      <c r="C156" s="422">
        <v>54787055</v>
      </c>
      <c r="E156" s="412">
        <f t="shared" si="2"/>
        <v>54787055</v>
      </c>
      <c r="F156" s="412" t="e">
        <f>-VLOOKUP(A156,'[2]BASE SAP 2022'!B:E,4,FALSE)-E156</f>
        <v>#N/A</v>
      </c>
      <c r="G156" s="419">
        <f>VLOOKUP(A156,'[3]base BG'!C:E,3,FALSE)-E156</f>
        <v>0</v>
      </c>
    </row>
    <row r="157" spans="1:7" x14ac:dyDescent="0.2">
      <c r="A157" s="414" t="s">
        <v>915</v>
      </c>
      <c r="B157" s="414" t="s">
        <v>914</v>
      </c>
      <c r="C157" s="422">
        <v>45666528</v>
      </c>
      <c r="E157" s="412">
        <f t="shared" si="2"/>
        <v>45666528</v>
      </c>
      <c r="F157" s="412" t="e">
        <f>-VLOOKUP(A157,'[2]BASE SAP 2022'!B:E,4,FALSE)-E157</f>
        <v>#N/A</v>
      </c>
      <c r="G157" s="419">
        <f>VLOOKUP(A157,'[3]base BG'!C:E,3,FALSE)-E157</f>
        <v>0</v>
      </c>
    </row>
    <row r="158" spans="1:7" x14ac:dyDescent="0.2">
      <c r="A158" s="414" t="s">
        <v>916</v>
      </c>
      <c r="B158" s="414" t="s">
        <v>917</v>
      </c>
      <c r="C158" s="422">
        <v>821526800</v>
      </c>
      <c r="E158" s="412">
        <f t="shared" si="2"/>
        <v>821526800</v>
      </c>
      <c r="F158" s="412" t="e">
        <f>-VLOOKUP(A158,'[2]BASE SAP 2022'!B:E,4,FALSE)-E158</f>
        <v>#N/A</v>
      </c>
      <c r="G158" s="419">
        <f>VLOOKUP(A158,'[3]base BG'!C:E,3,FALSE)-E158</f>
        <v>0</v>
      </c>
    </row>
    <row r="159" spans="1:7" x14ac:dyDescent="0.2">
      <c r="A159" s="414" t="s">
        <v>918</v>
      </c>
      <c r="B159" s="414" t="s">
        <v>919</v>
      </c>
      <c r="C159" s="422">
        <v>3935036</v>
      </c>
      <c r="E159" s="412">
        <f t="shared" si="2"/>
        <v>3935036</v>
      </c>
      <c r="F159" s="412" t="e">
        <f>-VLOOKUP(A159,'[2]BASE SAP 2022'!B:E,4,FALSE)-E159</f>
        <v>#N/A</v>
      </c>
      <c r="G159" s="419">
        <f>VLOOKUP(A159,'[3]base BG'!C:E,3,FALSE)-E159</f>
        <v>0</v>
      </c>
    </row>
    <row r="160" spans="1:7" x14ac:dyDescent="0.2">
      <c r="A160" s="414" t="s">
        <v>921</v>
      </c>
      <c r="B160" s="414" t="s">
        <v>922</v>
      </c>
      <c r="C160" s="422">
        <v>171229843</v>
      </c>
      <c r="E160" s="412">
        <f t="shared" si="2"/>
        <v>171229843</v>
      </c>
      <c r="F160" s="412" t="e">
        <f>-VLOOKUP(A160,'[2]BASE SAP 2022'!B:E,4,FALSE)-E160</f>
        <v>#N/A</v>
      </c>
      <c r="G160" s="419">
        <f>VLOOKUP(A160,'[3]base BG'!C:E,3,FALSE)-E160</f>
        <v>0</v>
      </c>
    </row>
    <row r="161" spans="1:7" x14ac:dyDescent="0.2">
      <c r="A161" s="414" t="s">
        <v>923</v>
      </c>
      <c r="B161" s="414" t="s">
        <v>924</v>
      </c>
      <c r="C161" s="422">
        <v>6925202</v>
      </c>
      <c r="E161" s="412">
        <f t="shared" si="2"/>
        <v>6925202</v>
      </c>
      <c r="F161" s="412" t="e">
        <f>-VLOOKUP(A161,'[2]BASE SAP 2022'!B:E,4,FALSE)-E161</f>
        <v>#N/A</v>
      </c>
      <c r="G161" s="419">
        <f>VLOOKUP(A161,'[3]base BG'!C:E,3,FALSE)-E161</f>
        <v>0</v>
      </c>
    </row>
    <row r="162" spans="1:7" x14ac:dyDescent="0.2">
      <c r="A162" s="414" t="s">
        <v>926</v>
      </c>
      <c r="B162" s="414" t="s">
        <v>313</v>
      </c>
      <c r="C162" s="422">
        <v>355787644</v>
      </c>
      <c r="E162" s="412">
        <f t="shared" si="2"/>
        <v>355787644</v>
      </c>
      <c r="F162" s="412" t="e">
        <f>-VLOOKUP(A162,'[2]BASE SAP 2022'!B:E,4,FALSE)-E162</f>
        <v>#N/A</v>
      </c>
      <c r="G162" s="419">
        <f>VLOOKUP(A162,'[3]base BG'!C:E,3,FALSE)-E162</f>
        <v>0</v>
      </c>
    </row>
    <row r="163" spans="1:7" x14ac:dyDescent="0.2">
      <c r="A163" s="414" t="s">
        <v>927</v>
      </c>
      <c r="B163" s="414" t="s">
        <v>928</v>
      </c>
      <c r="C163" s="422">
        <v>1069536486</v>
      </c>
      <c r="E163" s="412">
        <f t="shared" si="2"/>
        <v>1069536486</v>
      </c>
      <c r="F163" s="412" t="e">
        <f>-VLOOKUP(A163,'[2]BASE SAP 2022'!B:E,4,FALSE)-E163</f>
        <v>#N/A</v>
      </c>
      <c r="G163" s="419">
        <f>VLOOKUP(A163,'[3]base BG'!C:E,3,FALSE)-E163</f>
        <v>0</v>
      </c>
    </row>
    <row r="164" spans="1:7" x14ac:dyDescent="0.2">
      <c r="A164" s="414" t="s">
        <v>929</v>
      </c>
      <c r="B164" s="414" t="s">
        <v>930</v>
      </c>
      <c r="C164" s="422">
        <v>16740222</v>
      </c>
      <c r="E164" s="412">
        <f t="shared" si="2"/>
        <v>16740222</v>
      </c>
      <c r="F164" s="412" t="e">
        <f>-VLOOKUP(A164,'[2]BASE SAP 2022'!B:E,4,FALSE)-E164</f>
        <v>#N/A</v>
      </c>
      <c r="G164" s="419">
        <f>VLOOKUP(A164,'[3]base BG'!C:E,3,FALSE)-E164</f>
        <v>0</v>
      </c>
    </row>
    <row r="165" spans="1:7" x14ac:dyDescent="0.2">
      <c r="A165" s="414" t="s">
        <v>931</v>
      </c>
      <c r="B165" s="414" t="s">
        <v>932</v>
      </c>
      <c r="C165" s="422">
        <v>4327311475</v>
      </c>
      <c r="E165" s="412">
        <f t="shared" si="2"/>
        <v>4327311475</v>
      </c>
      <c r="F165" s="412" t="e">
        <f>-VLOOKUP(A165,'[2]BASE SAP 2022'!B:E,4,FALSE)-E165</f>
        <v>#N/A</v>
      </c>
      <c r="G165" s="419">
        <f>VLOOKUP(A165,'[3]base BG'!C:E,3,FALSE)-E165</f>
        <v>0</v>
      </c>
    </row>
    <row r="166" spans="1:7" x14ac:dyDescent="0.2">
      <c r="A166" s="414" t="s">
        <v>934</v>
      </c>
      <c r="B166" s="414" t="s">
        <v>933</v>
      </c>
      <c r="C166" s="422">
        <v>52127976</v>
      </c>
      <c r="E166" s="412">
        <f t="shared" si="2"/>
        <v>52127976</v>
      </c>
      <c r="F166" s="412" t="e">
        <f>-VLOOKUP(A166,'[2]BASE SAP 2022'!B:E,4,FALSE)-E166</f>
        <v>#N/A</v>
      </c>
      <c r="G166" s="419">
        <f>VLOOKUP(A166,'[3]base BG'!C:E,3,FALSE)-E166</f>
        <v>0</v>
      </c>
    </row>
    <row r="167" spans="1:7" x14ac:dyDescent="0.2">
      <c r="A167" s="414" t="s">
        <v>935</v>
      </c>
      <c r="B167" s="414" t="s">
        <v>936</v>
      </c>
      <c r="C167" s="422">
        <v>29993400000</v>
      </c>
      <c r="D167" s="412">
        <v>8925000484</v>
      </c>
      <c r="E167" s="412">
        <f t="shared" si="2"/>
        <v>38918400484</v>
      </c>
      <c r="F167" s="412" t="e">
        <f>-VLOOKUP(A167,'[2]BASE SAP 2022'!B:E,4,FALSE)-E167</f>
        <v>#N/A</v>
      </c>
      <c r="G167" s="419">
        <f>VLOOKUP(A167,'[3]base BG'!C:E,3,FALSE)-E167</f>
        <v>0</v>
      </c>
    </row>
    <row r="168" spans="1:7" x14ac:dyDescent="0.2">
      <c r="A168" s="414" t="s">
        <v>937</v>
      </c>
      <c r="B168" s="414" t="s">
        <v>938</v>
      </c>
      <c r="C168" s="422">
        <v>33028290000</v>
      </c>
      <c r="E168" s="412">
        <f t="shared" si="2"/>
        <v>33028290000</v>
      </c>
      <c r="F168" s="412" t="e">
        <f>-VLOOKUP(A168,'[2]BASE SAP 2022'!B:E,4,FALSE)-E168</f>
        <v>#N/A</v>
      </c>
      <c r="G168" s="419">
        <f>VLOOKUP(A168,'[3]base BG'!C:E,3,FALSE)-E168</f>
        <v>0</v>
      </c>
    </row>
    <row r="169" spans="1:7" x14ac:dyDescent="0.2">
      <c r="A169" s="414" t="s">
        <v>939</v>
      </c>
      <c r="B169" s="414" t="s">
        <v>940</v>
      </c>
      <c r="C169" s="422">
        <v>3286296285</v>
      </c>
      <c r="D169" s="423">
        <v>4997074437.9699993</v>
      </c>
      <c r="E169" s="412">
        <f t="shared" si="2"/>
        <v>8283370722.9699993</v>
      </c>
      <c r="F169" s="423" t="e">
        <f>-VLOOKUP(A169,'[2]BASE SAP 2022'!B:E,4,FALSE)-E169</f>
        <v>#N/A</v>
      </c>
      <c r="G169" s="424">
        <f>VLOOKUP(A169,'[3]base BG'!C:E,3,FALSE)-E169</f>
        <v>0</v>
      </c>
    </row>
    <row r="170" spans="1:7" x14ac:dyDescent="0.2">
      <c r="A170" s="414" t="s">
        <v>941</v>
      </c>
      <c r="B170" s="414" t="s">
        <v>942</v>
      </c>
      <c r="C170" s="422">
        <v>1161871828</v>
      </c>
      <c r="D170" s="423"/>
      <c r="E170" s="412">
        <f t="shared" si="2"/>
        <v>1161871828</v>
      </c>
      <c r="F170" s="423" t="e">
        <f>-VLOOKUP(A170,'[2]BASE SAP 2022'!B:E,4,FALSE)-E170</f>
        <v>#N/A</v>
      </c>
      <c r="G170" s="424">
        <f>VLOOKUP(A170,'[3]base BG'!C:E,3,FALSE)-E170</f>
        <v>0</v>
      </c>
    </row>
    <row r="171" spans="1:7" x14ac:dyDescent="0.2">
      <c r="A171" s="414" t="s">
        <v>945</v>
      </c>
      <c r="B171" s="414" t="s">
        <v>946</v>
      </c>
      <c r="C171" s="422">
        <v>17000000000</v>
      </c>
      <c r="D171" s="423"/>
      <c r="E171" s="412">
        <f t="shared" si="2"/>
        <v>17000000000</v>
      </c>
      <c r="F171" s="423" t="e">
        <f>-VLOOKUP(A171,'[2]BASE SAP 2022'!B:E,4,FALSE)-E171</f>
        <v>#N/A</v>
      </c>
      <c r="G171" s="424">
        <f>VLOOKUP(A171,'[3]base BG'!C:E,3,FALSE)-E171</f>
        <v>0</v>
      </c>
    </row>
    <row r="172" spans="1:7" x14ac:dyDescent="0.2">
      <c r="A172" s="414" t="s">
        <v>943</v>
      </c>
      <c r="B172" s="414" t="s">
        <v>944</v>
      </c>
      <c r="C172" s="422">
        <v>14679240000</v>
      </c>
      <c r="E172" s="412">
        <f t="shared" si="2"/>
        <v>14679240000</v>
      </c>
      <c r="F172" s="412" t="e">
        <f>-VLOOKUP(A172,'[2]BASE SAP 2022'!B:E,4,FALSE)-E172</f>
        <v>#N/A</v>
      </c>
      <c r="G172" s="419">
        <f>VLOOKUP(A172,'[3]base BG'!C:E,3,FALSE)-E172</f>
        <v>0</v>
      </c>
    </row>
    <row r="173" spans="1:7" x14ac:dyDescent="0.2">
      <c r="A173" s="414" t="s">
        <v>947</v>
      </c>
      <c r="B173" s="414" t="s">
        <v>948</v>
      </c>
      <c r="C173" s="422">
        <v>200000000000</v>
      </c>
      <c r="E173" s="412">
        <f t="shared" si="2"/>
        <v>200000000000</v>
      </c>
      <c r="F173" s="412" t="e">
        <f>-VLOOKUP(A173,'[2]BASE SAP 2022'!B:E,4,FALSE)-E173</f>
        <v>#N/A</v>
      </c>
      <c r="G173" s="419">
        <f>VLOOKUP(A173,'[3]base BG'!C:E,3,FALSE)-E173</f>
        <v>0</v>
      </c>
    </row>
    <row r="174" spans="1:7" x14ac:dyDescent="0.2">
      <c r="A174" s="414" t="s">
        <v>949</v>
      </c>
      <c r="B174" s="414" t="s">
        <v>950</v>
      </c>
      <c r="C174" s="422">
        <v>-7826983776</v>
      </c>
      <c r="E174" s="412">
        <f t="shared" si="2"/>
        <v>-7826983776</v>
      </c>
      <c r="F174" s="412" t="e">
        <f>-VLOOKUP(A174,'[2]BASE SAP 2022'!B:E,4,FALSE)-E174</f>
        <v>#N/A</v>
      </c>
      <c r="G174" s="419">
        <f>VLOOKUP(A174,'[3]base BG'!C:E,3,FALSE)-E174</f>
        <v>0</v>
      </c>
    </row>
    <row r="175" spans="1:7" x14ac:dyDescent="0.2">
      <c r="A175" s="414" t="s">
        <v>951</v>
      </c>
      <c r="B175" s="414" t="s">
        <v>437</v>
      </c>
      <c r="C175" s="422">
        <v>2720132014</v>
      </c>
      <c r="E175" s="412">
        <f t="shared" si="2"/>
        <v>2720132014</v>
      </c>
      <c r="F175" s="412" t="e">
        <f>-VLOOKUP(A175,'[2]BASE SAP 2022'!B:E,4,FALSE)-E175</f>
        <v>#N/A</v>
      </c>
      <c r="G175" s="419">
        <f>VLOOKUP(A175,'[3]base BG'!C:E,3,FALSE)-E175</f>
        <v>0</v>
      </c>
    </row>
    <row r="176" spans="1:7" x14ac:dyDescent="0.2">
      <c r="A176" s="414" t="s">
        <v>955</v>
      </c>
      <c r="B176" s="414" t="s">
        <v>956</v>
      </c>
      <c r="C176" s="422">
        <v>11423641075</v>
      </c>
      <c r="E176" s="412">
        <f t="shared" si="2"/>
        <v>11423641075</v>
      </c>
      <c r="F176" s="412" t="e">
        <f>-VLOOKUP(A176,'[2]BASE SAP 2022'!B:E,4,FALSE)-E176</f>
        <v>#N/A</v>
      </c>
      <c r="G176" s="419">
        <f>VLOOKUP(A176,'[3]base BG'!C:E,3,FALSE)-E176</f>
        <v>0</v>
      </c>
    </row>
    <row r="177" spans="1:7" x14ac:dyDescent="0.2">
      <c r="A177" s="414" t="s">
        <v>957</v>
      </c>
      <c r="B177" s="414" t="s">
        <v>958</v>
      </c>
      <c r="C177" s="422">
        <v>17763825535</v>
      </c>
      <c r="E177" s="412">
        <f t="shared" si="2"/>
        <v>17763825535</v>
      </c>
      <c r="F177" s="412" t="e">
        <f>-VLOOKUP(A177,'[2]BASE SAP 2022'!B:E,4,FALSE)-E177</f>
        <v>#N/A</v>
      </c>
      <c r="G177" s="419">
        <f>VLOOKUP(A177,'[3]base BG'!C:E,3,FALSE)-E177</f>
        <v>0</v>
      </c>
    </row>
    <row r="178" spans="1:7" x14ac:dyDescent="0.2">
      <c r="A178" s="414" t="s">
        <v>959</v>
      </c>
      <c r="B178" s="414"/>
      <c r="C178" s="422">
        <v>5718723977</v>
      </c>
      <c r="D178" s="425"/>
      <c r="E178" s="412">
        <f t="shared" si="2"/>
        <v>5718723977</v>
      </c>
      <c r="F178" s="412">
        <v>0</v>
      </c>
      <c r="G178" s="419">
        <f>VLOOKUP(A178,'[3]base BG'!C:E,3,FALSE)-E178</f>
        <v>0</v>
      </c>
    </row>
    <row r="179" spans="1:7" x14ac:dyDescent="0.2">
      <c r="E179" s="412">
        <f t="shared" si="2"/>
        <v>0</v>
      </c>
    </row>
    <row r="180" spans="1:7" x14ac:dyDescent="0.2">
      <c r="A180" s="414" t="s">
        <v>967</v>
      </c>
      <c r="B180" s="414" t="s">
        <v>968</v>
      </c>
      <c r="C180" s="422">
        <v>13919677197</v>
      </c>
      <c r="E180" s="412">
        <f t="shared" si="2"/>
        <v>13919677197</v>
      </c>
      <c r="F180" s="412" t="e">
        <f>-VLOOKUP(A180,'[2]BASE SAP 2022'!B:E,4,FALSE)-E180</f>
        <v>#N/A</v>
      </c>
      <c r="G180" s="419">
        <f>VLOOKUP(A180,[3]EERR!C:E,3,FALSE)-E180</f>
        <v>0</v>
      </c>
    </row>
    <row r="181" spans="1:7" x14ac:dyDescent="0.2">
      <c r="A181" s="414" t="s">
        <v>969</v>
      </c>
      <c r="B181" s="414" t="s">
        <v>970</v>
      </c>
      <c r="C181" s="422">
        <v>-276519594</v>
      </c>
      <c r="E181" s="412">
        <f t="shared" si="2"/>
        <v>-276519594</v>
      </c>
      <c r="F181" s="412" t="e">
        <f>-VLOOKUP(A181,'[2]BASE SAP 2022'!B:E,4,FALSE)-E181</f>
        <v>#N/A</v>
      </c>
      <c r="G181" s="419">
        <f>VLOOKUP(A181,[3]EERR!C:E,3,FALSE)-E181</f>
        <v>0</v>
      </c>
    </row>
    <row r="182" spans="1:7" x14ac:dyDescent="0.2">
      <c r="A182" s="414" t="s">
        <v>971</v>
      </c>
      <c r="B182" s="414" t="s">
        <v>972</v>
      </c>
      <c r="C182" s="422">
        <v>22185401796</v>
      </c>
      <c r="E182" s="412">
        <f t="shared" si="2"/>
        <v>22185401796</v>
      </c>
      <c r="F182" s="412" t="e">
        <f>-VLOOKUP(A182,'[2]BASE SAP 2022'!B:E,4,FALSE)-E182</f>
        <v>#N/A</v>
      </c>
      <c r="G182" s="419">
        <f>VLOOKUP(A182,[3]EERR!C:E,3,FALSE)-E182</f>
        <v>0</v>
      </c>
    </row>
    <row r="183" spans="1:7" x14ac:dyDescent="0.2">
      <c r="A183" s="414" t="s">
        <v>973</v>
      </c>
      <c r="B183" s="414" t="s">
        <v>974</v>
      </c>
      <c r="C183" s="422">
        <v>-1304825304</v>
      </c>
      <c r="E183" s="412">
        <f t="shared" si="2"/>
        <v>-1304825304</v>
      </c>
      <c r="F183" s="412" t="e">
        <f>-VLOOKUP(A183,'[2]BASE SAP 2022'!B:E,4,FALSE)-E183</f>
        <v>#N/A</v>
      </c>
      <c r="G183" s="419">
        <f>VLOOKUP(A183,[3]EERR!C:E,3,FALSE)-E183</f>
        <v>0</v>
      </c>
    </row>
    <row r="184" spans="1:7" x14ac:dyDescent="0.2">
      <c r="A184" s="414" t="s">
        <v>975</v>
      </c>
      <c r="B184" s="414" t="s">
        <v>976</v>
      </c>
      <c r="C184" s="422">
        <v>10020145869</v>
      </c>
      <c r="E184" s="412">
        <f t="shared" si="2"/>
        <v>10020145869</v>
      </c>
      <c r="F184" s="412" t="e">
        <f>-VLOOKUP(A184,'[2]BASE SAP 2022'!B:E,4,FALSE)-E184</f>
        <v>#N/A</v>
      </c>
      <c r="G184" s="419">
        <f>VLOOKUP(A184,[3]EERR!C:E,3,FALSE)-E184</f>
        <v>0</v>
      </c>
    </row>
    <row r="185" spans="1:7" x14ac:dyDescent="0.2">
      <c r="A185" s="414" t="s">
        <v>977</v>
      </c>
      <c r="B185" s="414" t="s">
        <v>978</v>
      </c>
      <c r="C185" s="422">
        <v>-723375496</v>
      </c>
      <c r="E185" s="412">
        <f t="shared" si="2"/>
        <v>-723375496</v>
      </c>
      <c r="F185" s="412" t="e">
        <f>-VLOOKUP(A185,'[2]BASE SAP 2022'!B:E,4,FALSE)-E185</f>
        <v>#N/A</v>
      </c>
      <c r="G185" s="419">
        <f>VLOOKUP(A185,[3]EERR!C:E,3,FALSE)-E185</f>
        <v>0</v>
      </c>
    </row>
    <row r="186" spans="1:7" x14ac:dyDescent="0.2">
      <c r="A186" s="414" t="s">
        <v>979</v>
      </c>
      <c r="B186" s="414" t="s">
        <v>980</v>
      </c>
      <c r="C186" s="422">
        <v>25204510276</v>
      </c>
      <c r="E186" s="412">
        <f t="shared" si="2"/>
        <v>25204510276</v>
      </c>
      <c r="F186" s="412" t="e">
        <f>-VLOOKUP(A186,'[2]BASE SAP 2022'!B:E,4,FALSE)-E186</f>
        <v>#N/A</v>
      </c>
      <c r="G186" s="419">
        <f>VLOOKUP(A186,[3]EERR!C:E,3,FALSE)-E186</f>
        <v>0</v>
      </c>
    </row>
    <row r="187" spans="1:7" x14ac:dyDescent="0.2">
      <c r="A187" s="414" t="s">
        <v>981</v>
      </c>
      <c r="B187" s="414" t="s">
        <v>982</v>
      </c>
      <c r="C187" s="422">
        <v>-3855253774</v>
      </c>
      <c r="E187" s="412">
        <f t="shared" si="2"/>
        <v>-3855253774</v>
      </c>
      <c r="F187" s="412" t="e">
        <f>-VLOOKUP(A187,'[2]BASE SAP 2022'!B:E,4,FALSE)-E187</f>
        <v>#N/A</v>
      </c>
      <c r="G187" s="419">
        <f>VLOOKUP(A187,[3]EERR!C:E,3,FALSE)-E187</f>
        <v>0</v>
      </c>
    </row>
    <row r="188" spans="1:7" x14ac:dyDescent="0.2">
      <c r="A188" s="414" t="s">
        <v>983</v>
      </c>
      <c r="B188" s="414" t="s">
        <v>984</v>
      </c>
      <c r="C188" s="422">
        <v>39970512029</v>
      </c>
      <c r="E188" s="412">
        <f t="shared" si="2"/>
        <v>39970512029</v>
      </c>
      <c r="F188" s="412" t="e">
        <f>-VLOOKUP(A188,'[2]BASE SAP 2022'!B:E,4,FALSE)-E188</f>
        <v>#N/A</v>
      </c>
      <c r="G188" s="419">
        <f>VLOOKUP(A188,[3]EERR!C:E,3,FALSE)-E188</f>
        <v>0</v>
      </c>
    </row>
    <row r="189" spans="1:7" x14ac:dyDescent="0.2">
      <c r="A189" s="414" t="s">
        <v>985</v>
      </c>
      <c r="B189" s="414" t="s">
        <v>986</v>
      </c>
      <c r="C189" s="422">
        <v>9364288</v>
      </c>
      <c r="E189" s="412">
        <f t="shared" si="2"/>
        <v>9364288</v>
      </c>
      <c r="F189" s="412" t="e">
        <f>-VLOOKUP(A189,'[2]BASE SAP 2022'!B:E,4,FALSE)-E189</f>
        <v>#N/A</v>
      </c>
      <c r="G189" s="419">
        <f>VLOOKUP(A189,[3]EERR!C:E,3,FALSE)-E189</f>
        <v>0</v>
      </c>
    </row>
    <row r="190" spans="1:7" x14ac:dyDescent="0.2">
      <c r="A190" s="414" t="s">
        <v>987</v>
      </c>
      <c r="B190" s="414" t="s">
        <v>988</v>
      </c>
      <c r="C190" s="422">
        <v>-452151</v>
      </c>
      <c r="E190" s="412">
        <f t="shared" si="2"/>
        <v>-452151</v>
      </c>
      <c r="F190" s="412" t="e">
        <f>-VLOOKUP(A190,'[2]BASE SAP 2022'!B:E,4,FALSE)-E190</f>
        <v>#N/A</v>
      </c>
      <c r="G190" s="419">
        <f>VLOOKUP(A190,[3]EERR!C:E,3,FALSE)-E190</f>
        <v>0</v>
      </c>
    </row>
    <row r="191" spans="1:7" x14ac:dyDescent="0.2">
      <c r="A191" s="414" t="s">
        <v>989</v>
      </c>
      <c r="B191" s="414" t="s">
        <v>990</v>
      </c>
      <c r="C191" s="422">
        <v>121223833</v>
      </c>
      <c r="E191" s="412">
        <f t="shared" si="2"/>
        <v>121223833</v>
      </c>
      <c r="F191" s="412" t="e">
        <f>-VLOOKUP(A191,'[2]BASE SAP 2022'!B:E,4,FALSE)-E191</f>
        <v>#N/A</v>
      </c>
      <c r="G191" s="419">
        <f>VLOOKUP(A191,[3]EERR!C:E,3,FALSE)-E191</f>
        <v>0</v>
      </c>
    </row>
    <row r="192" spans="1:7" x14ac:dyDescent="0.2">
      <c r="A192" s="414" t="s">
        <v>991</v>
      </c>
      <c r="B192" s="414" t="s">
        <v>992</v>
      </c>
      <c r="C192" s="422">
        <v>-3251013</v>
      </c>
      <c r="E192" s="412">
        <f t="shared" si="2"/>
        <v>-3251013</v>
      </c>
      <c r="F192" s="412" t="e">
        <f>-VLOOKUP(A192,'[2]BASE SAP 2022'!B:E,4,FALSE)-E192</f>
        <v>#N/A</v>
      </c>
      <c r="G192" s="419">
        <f>VLOOKUP(A192,[3]EERR!C:E,3,FALSE)-E192</f>
        <v>0</v>
      </c>
    </row>
    <row r="193" spans="1:7" x14ac:dyDescent="0.2">
      <c r="A193" s="414" t="s">
        <v>993</v>
      </c>
      <c r="B193" s="414" t="s">
        <v>994</v>
      </c>
      <c r="C193" s="422">
        <v>341618406</v>
      </c>
      <c r="E193" s="412">
        <f t="shared" si="2"/>
        <v>341618406</v>
      </c>
      <c r="F193" s="412" t="e">
        <f>-VLOOKUP(A193,'[2]BASE SAP 2022'!B:E,4,FALSE)-E193</f>
        <v>#N/A</v>
      </c>
      <c r="G193" s="419">
        <f>VLOOKUP(A193,[3]EERR!C:E,3,FALSE)-E193</f>
        <v>0</v>
      </c>
    </row>
    <row r="194" spans="1:7" x14ac:dyDescent="0.2">
      <c r="A194" s="414" t="s">
        <v>995</v>
      </c>
      <c r="B194" s="414" t="s">
        <v>996</v>
      </c>
      <c r="C194" s="422">
        <v>35213059</v>
      </c>
      <c r="E194" s="412">
        <f t="shared" si="2"/>
        <v>35213059</v>
      </c>
      <c r="F194" s="412" t="e">
        <f>-VLOOKUP(A194,'[2]BASE SAP 2022'!B:E,4,FALSE)-E194</f>
        <v>#N/A</v>
      </c>
      <c r="G194" s="419">
        <f>VLOOKUP(A194,[3]EERR!C:E,3,FALSE)-E194</f>
        <v>0</v>
      </c>
    </row>
    <row r="195" spans="1:7" x14ac:dyDescent="0.2">
      <c r="A195" s="414" t="s">
        <v>997</v>
      </c>
      <c r="B195" s="414" t="s">
        <v>998</v>
      </c>
      <c r="C195" s="422">
        <v>278587450</v>
      </c>
      <c r="E195" s="412">
        <f t="shared" ref="E195:E258" si="3">+C195+D195</f>
        <v>278587450</v>
      </c>
      <c r="F195" s="412" t="e">
        <f>-VLOOKUP(A195,'[2]BASE SAP 2022'!B:E,4,FALSE)-E195</f>
        <v>#N/A</v>
      </c>
      <c r="G195" s="419">
        <f>VLOOKUP(A195,[3]EERR!C:E,3,FALSE)-E195</f>
        <v>0</v>
      </c>
    </row>
    <row r="196" spans="1:7" x14ac:dyDescent="0.2">
      <c r="A196" s="414" t="s">
        <v>999</v>
      </c>
      <c r="B196" s="414" t="s">
        <v>1000</v>
      </c>
      <c r="C196" s="422">
        <v>10506019</v>
      </c>
      <c r="E196" s="412">
        <f t="shared" si="3"/>
        <v>10506019</v>
      </c>
      <c r="F196" s="412" t="e">
        <f>-VLOOKUP(A196,'[2]BASE SAP 2022'!B:E,4,FALSE)-E196</f>
        <v>#N/A</v>
      </c>
      <c r="G196" s="419">
        <f>VLOOKUP(A196,[3]EERR!C:E,3,FALSE)-E196</f>
        <v>0</v>
      </c>
    </row>
    <row r="197" spans="1:7" x14ac:dyDescent="0.2">
      <c r="A197" s="414" t="s">
        <v>1001</v>
      </c>
      <c r="B197" s="414" t="s">
        <v>1002</v>
      </c>
      <c r="C197" s="422">
        <v>6329716636</v>
      </c>
      <c r="E197" s="412">
        <f t="shared" si="3"/>
        <v>6329716636</v>
      </c>
      <c r="F197" s="412" t="e">
        <f>-VLOOKUP(A197,'[2]BASE SAP 2022'!B:E,4,FALSE)-E197</f>
        <v>#N/A</v>
      </c>
      <c r="G197" s="419">
        <f>VLOOKUP(A197,[3]EERR!C:E,3,FALSE)-E197</f>
        <v>0</v>
      </c>
    </row>
    <row r="198" spans="1:7" x14ac:dyDescent="0.2">
      <c r="A198" s="414" t="s">
        <v>1003</v>
      </c>
      <c r="B198" s="414" t="s">
        <v>1004</v>
      </c>
      <c r="C198" s="422">
        <v>763423953</v>
      </c>
      <c r="E198" s="412">
        <f t="shared" si="3"/>
        <v>763423953</v>
      </c>
      <c r="F198" s="412" t="e">
        <f>-VLOOKUP(A198,'[2]BASE SAP 2022'!B:E,4,FALSE)-E198</f>
        <v>#N/A</v>
      </c>
      <c r="G198" s="419">
        <f>VLOOKUP(A198,[3]EERR!C:E,3,FALSE)-E198</f>
        <v>0</v>
      </c>
    </row>
    <row r="199" spans="1:7" x14ac:dyDescent="0.2">
      <c r="A199" s="414" t="s">
        <v>1005</v>
      </c>
      <c r="B199" s="414" t="s">
        <v>1006</v>
      </c>
      <c r="C199" s="422">
        <v>79322003543</v>
      </c>
      <c r="E199" s="412">
        <f t="shared" si="3"/>
        <v>79322003543</v>
      </c>
      <c r="F199" s="412" t="e">
        <f>-VLOOKUP(A199,'[2]BASE SAP 2022'!B:E,4,FALSE)-E199</f>
        <v>#N/A</v>
      </c>
      <c r="G199" s="419">
        <f>VLOOKUP(A199,[3]EERR!C:E,3,FALSE)-E199</f>
        <v>0</v>
      </c>
    </row>
    <row r="200" spans="1:7" x14ac:dyDescent="0.2">
      <c r="A200" s="414" t="s">
        <v>1007</v>
      </c>
      <c r="B200" s="414" t="s">
        <v>1008</v>
      </c>
      <c r="C200" s="422">
        <v>-1595518120</v>
      </c>
      <c r="E200" s="412">
        <f t="shared" si="3"/>
        <v>-1595518120</v>
      </c>
      <c r="F200" s="412" t="e">
        <f>-VLOOKUP(A200,'[2]BASE SAP 2022'!B:E,4,FALSE)-E200</f>
        <v>#N/A</v>
      </c>
      <c r="G200" s="419">
        <f>VLOOKUP(A200,[3]EERR!C:E,3,FALSE)-E200</f>
        <v>0</v>
      </c>
    </row>
    <row r="201" spans="1:7" x14ac:dyDescent="0.2">
      <c r="A201" s="414" t="s">
        <v>1009</v>
      </c>
      <c r="B201" s="414" t="s">
        <v>1010</v>
      </c>
      <c r="C201" s="422">
        <v>2358931868</v>
      </c>
      <c r="E201" s="412">
        <f t="shared" si="3"/>
        <v>2358931868</v>
      </c>
      <c r="F201" s="412" t="e">
        <f>-VLOOKUP(A201,'[2]BASE SAP 2022'!B:E,4,FALSE)-E201</f>
        <v>#N/A</v>
      </c>
      <c r="G201" s="419">
        <f>VLOOKUP(A201,[3]EERR!C:E,3,FALSE)-E201</f>
        <v>0</v>
      </c>
    </row>
    <row r="202" spans="1:7" x14ac:dyDescent="0.2">
      <c r="A202" s="414" t="s">
        <v>1011</v>
      </c>
      <c r="B202" s="414" t="s">
        <v>350</v>
      </c>
      <c r="C202" s="422">
        <v>12295946891</v>
      </c>
      <c r="E202" s="412">
        <f t="shared" si="3"/>
        <v>12295946891</v>
      </c>
      <c r="F202" s="412" t="e">
        <f>-VLOOKUP(A202,'[2]BASE SAP 2022'!B:E,4,FALSE)-E202</f>
        <v>#N/A</v>
      </c>
      <c r="G202" s="419">
        <f>VLOOKUP(A202,[3]EERR!C:E,3,FALSE)-E202</f>
        <v>0</v>
      </c>
    </row>
    <row r="203" spans="1:7" x14ac:dyDescent="0.2">
      <c r="A203" s="414" t="s">
        <v>1012</v>
      </c>
      <c r="B203" s="414" t="s">
        <v>351</v>
      </c>
      <c r="C203" s="422">
        <v>21129176</v>
      </c>
      <c r="E203" s="412">
        <f t="shared" si="3"/>
        <v>21129176</v>
      </c>
      <c r="F203" s="412" t="e">
        <f>-VLOOKUP(A203,'[2]BASE SAP 2022'!B:E,4,FALSE)-E203</f>
        <v>#N/A</v>
      </c>
      <c r="G203" s="419">
        <f>VLOOKUP(A203,[3]EERR!C:E,3,FALSE)-E203</f>
        <v>0</v>
      </c>
    </row>
    <row r="204" spans="1:7" x14ac:dyDescent="0.2">
      <c r="A204" s="414" t="s">
        <v>1013</v>
      </c>
      <c r="B204" s="414" t="s">
        <v>1014</v>
      </c>
      <c r="C204" s="422">
        <v>-51063556</v>
      </c>
      <c r="E204" s="412">
        <f t="shared" si="3"/>
        <v>-51063556</v>
      </c>
      <c r="F204" s="412" t="e">
        <f>-VLOOKUP(A204,'[2]BASE SAP 2022'!B:E,4,FALSE)-E204</f>
        <v>#N/A</v>
      </c>
      <c r="G204" s="419">
        <f>VLOOKUP(A204,[3]EERR!C:E,3,FALSE)-E204</f>
        <v>0</v>
      </c>
    </row>
    <row r="205" spans="1:7" x14ac:dyDescent="0.2">
      <c r="A205" s="414" t="s">
        <v>1015</v>
      </c>
      <c r="B205" s="414" t="s">
        <v>1016</v>
      </c>
      <c r="C205" s="422">
        <v>121932663</v>
      </c>
      <c r="D205" s="423"/>
      <c r="E205" s="412">
        <f t="shared" si="3"/>
        <v>121932663</v>
      </c>
      <c r="F205" s="423" t="e">
        <f>-VLOOKUP(A205,'[2]BASE SAP 2022'!B:E,4,FALSE)-E205</f>
        <v>#N/A</v>
      </c>
      <c r="G205" s="424">
        <f>VLOOKUP(A205,[3]EERR!C:E,3,FALSE)-E205</f>
        <v>0</v>
      </c>
    </row>
    <row r="206" spans="1:7" x14ac:dyDescent="0.2">
      <c r="A206" s="414" t="s">
        <v>1017</v>
      </c>
      <c r="B206" s="414" t="s">
        <v>1018</v>
      </c>
      <c r="C206" s="422">
        <v>392927932</v>
      </c>
      <c r="D206" s="423"/>
      <c r="E206" s="412">
        <f t="shared" si="3"/>
        <v>392927932</v>
      </c>
      <c r="F206" s="423" t="e">
        <f>-VLOOKUP(A206,'[2]BASE SAP 2022'!B:E,4,FALSE)-E206</f>
        <v>#N/A</v>
      </c>
      <c r="G206" s="424">
        <f>VLOOKUP(A206,[3]EERR!C:E,3,FALSE)-E206</f>
        <v>0</v>
      </c>
    </row>
    <row r="207" spans="1:7" x14ac:dyDescent="0.2">
      <c r="A207" s="414" t="s">
        <v>1019</v>
      </c>
      <c r="B207" s="414" t="s">
        <v>1020</v>
      </c>
      <c r="C207" s="422">
        <v>32426780</v>
      </c>
      <c r="D207" s="423"/>
      <c r="E207" s="412">
        <f t="shared" si="3"/>
        <v>32426780</v>
      </c>
      <c r="F207" s="423" t="e">
        <f>-VLOOKUP(A207,'[2]BASE SAP 2022'!B:E,4,FALSE)-E207</f>
        <v>#N/A</v>
      </c>
      <c r="G207" s="424">
        <f>VLOOKUP(A207,[3]EERR!C:E,3,FALSE)-E207</f>
        <v>0</v>
      </c>
    </row>
    <row r="208" spans="1:7" x14ac:dyDescent="0.2">
      <c r="A208" s="414" t="s">
        <v>1021</v>
      </c>
      <c r="B208" s="414" t="s">
        <v>1022</v>
      </c>
      <c r="C208" s="422">
        <v>5893946</v>
      </c>
      <c r="D208" s="423"/>
      <c r="E208" s="412">
        <f t="shared" si="3"/>
        <v>5893946</v>
      </c>
      <c r="F208" s="423" t="e">
        <f>-VLOOKUP(A208,'[2]BASE SAP 2022'!B:E,4,FALSE)-E208</f>
        <v>#N/A</v>
      </c>
      <c r="G208" s="424">
        <f>VLOOKUP(A208,[3]EERR!C:E,3,FALSE)-E208</f>
        <v>0</v>
      </c>
    </row>
    <row r="209" spans="1:7" x14ac:dyDescent="0.2">
      <c r="A209" s="414" t="s">
        <v>1023</v>
      </c>
      <c r="B209" s="414" t="s">
        <v>1024</v>
      </c>
      <c r="C209" s="422">
        <v>3088384838</v>
      </c>
      <c r="E209" s="412">
        <f t="shared" si="3"/>
        <v>3088384838</v>
      </c>
      <c r="F209" s="412" t="e">
        <f>-VLOOKUP(A209,'[2]BASE SAP 2022'!B:E,4,FALSE)-E209</f>
        <v>#N/A</v>
      </c>
      <c r="G209" s="419">
        <f>VLOOKUP(A209,[3]EERR!C:E,3,FALSE)-E209</f>
        <v>0</v>
      </c>
    </row>
    <row r="210" spans="1:7" x14ac:dyDescent="0.2">
      <c r="A210" s="414" t="s">
        <v>1025</v>
      </c>
      <c r="B210" s="414" t="s">
        <v>1026</v>
      </c>
      <c r="C210" s="422">
        <v>-21592761510</v>
      </c>
      <c r="E210" s="412">
        <f t="shared" si="3"/>
        <v>-21592761510</v>
      </c>
      <c r="F210" s="412" t="e">
        <f>-VLOOKUP(A210,'[2]BASE SAP 2022'!B:E,4,FALSE)-E210</f>
        <v>#N/A</v>
      </c>
      <c r="G210" s="419">
        <f>VLOOKUP(A210,[3]EERR!C:E,3,FALSE)-E210</f>
        <v>0</v>
      </c>
    </row>
    <row r="211" spans="1:7" x14ac:dyDescent="0.2">
      <c r="A211" s="414" t="s">
        <v>1027</v>
      </c>
      <c r="B211" s="414" t="s">
        <v>358</v>
      </c>
      <c r="C211" s="422">
        <v>-6462559368</v>
      </c>
      <c r="E211" s="412">
        <f t="shared" si="3"/>
        <v>-6462559368</v>
      </c>
      <c r="F211" s="412" t="e">
        <f>-VLOOKUP(A211,'[2]BASE SAP 2022'!B:E,4,FALSE)-E211</f>
        <v>#N/A</v>
      </c>
      <c r="G211" s="419">
        <f>VLOOKUP(A211,[3]EERR!C:E,3,FALSE)-E211</f>
        <v>0</v>
      </c>
    </row>
    <row r="212" spans="1:7" x14ac:dyDescent="0.2">
      <c r="A212" s="414" t="s">
        <v>1028</v>
      </c>
      <c r="B212" s="414" t="s">
        <v>1029</v>
      </c>
      <c r="C212" s="422">
        <v>-17130437509</v>
      </c>
      <c r="E212" s="412">
        <f t="shared" si="3"/>
        <v>-17130437509</v>
      </c>
      <c r="F212" s="412" t="e">
        <f>-VLOOKUP(A212,'[2]BASE SAP 2022'!B:E,4,FALSE)-E212</f>
        <v>#N/A</v>
      </c>
      <c r="G212" s="419">
        <f>VLOOKUP(A212,[3]EERR!C:E,3,FALSE)-E212</f>
        <v>0</v>
      </c>
    </row>
    <row r="213" spans="1:7" x14ac:dyDescent="0.2">
      <c r="A213" s="414" t="s">
        <v>1030</v>
      </c>
      <c r="B213" s="414" t="s">
        <v>1031</v>
      </c>
      <c r="C213" s="422">
        <v>-1139340</v>
      </c>
      <c r="D213" s="423"/>
      <c r="E213" s="412">
        <f t="shared" si="3"/>
        <v>-1139340</v>
      </c>
      <c r="F213" s="423" t="e">
        <f>-VLOOKUP(A213,'[2]BASE SAP 2022'!B:E,4,FALSE)-E213</f>
        <v>#N/A</v>
      </c>
      <c r="G213" s="424">
        <f>VLOOKUP(A213,[3]EERR!C:E,3,FALSE)-E213</f>
        <v>0</v>
      </c>
    </row>
    <row r="214" spans="1:7" x14ac:dyDescent="0.2">
      <c r="A214" s="414" t="s">
        <v>1032</v>
      </c>
      <c r="B214" s="414" t="s">
        <v>357</v>
      </c>
      <c r="C214" s="422">
        <v>-32034790516</v>
      </c>
      <c r="E214" s="412">
        <f t="shared" si="3"/>
        <v>-32034790516</v>
      </c>
      <c r="F214" s="412" t="e">
        <f>-VLOOKUP(A214,'[2]BASE SAP 2022'!B:E,4,FALSE)-E214</f>
        <v>#N/A</v>
      </c>
      <c r="G214" s="419">
        <f>VLOOKUP(A214,[3]EERR!C:E,3,FALSE)-E214</f>
        <v>0</v>
      </c>
    </row>
    <row r="215" spans="1:7" x14ac:dyDescent="0.2">
      <c r="A215" s="414" t="s">
        <v>1033</v>
      </c>
      <c r="B215" s="414" t="s">
        <v>1034</v>
      </c>
      <c r="C215" s="422">
        <v>-6207912</v>
      </c>
      <c r="E215" s="412">
        <f t="shared" si="3"/>
        <v>-6207912</v>
      </c>
      <c r="F215" s="412" t="e">
        <f>-VLOOKUP(A215,'[2]BASE SAP 2022'!B:E,4,FALSE)-E215</f>
        <v>#N/A</v>
      </c>
      <c r="G215" s="419">
        <f>VLOOKUP(A215,[3]EERR!C:E,3,FALSE)-E215</f>
        <v>0</v>
      </c>
    </row>
    <row r="216" spans="1:7" x14ac:dyDescent="0.2">
      <c r="A216" s="414" t="s">
        <v>1035</v>
      </c>
      <c r="B216" s="414" t="s">
        <v>1036</v>
      </c>
      <c r="C216" s="422">
        <v>-3032422552</v>
      </c>
      <c r="E216" s="412">
        <f t="shared" si="3"/>
        <v>-3032422552</v>
      </c>
      <c r="F216" s="412" t="e">
        <f>-VLOOKUP(A216,'[2]BASE SAP 2022'!B:E,4,FALSE)-E216</f>
        <v>#N/A</v>
      </c>
      <c r="G216" s="419">
        <f>VLOOKUP(A216,[3]EERR!C:E,3,FALSE)-E216</f>
        <v>0</v>
      </c>
    </row>
    <row r="217" spans="1:7" x14ac:dyDescent="0.2">
      <c r="A217" s="414" t="s">
        <v>1037</v>
      </c>
      <c r="B217" s="414" t="s">
        <v>1038</v>
      </c>
      <c r="C217" s="422">
        <v>-45260731191</v>
      </c>
      <c r="E217" s="412">
        <f t="shared" si="3"/>
        <v>-45260731191</v>
      </c>
      <c r="F217" s="412" t="e">
        <f>-VLOOKUP(A217,'[2]BASE SAP 2022'!B:E,4,FALSE)-E217</f>
        <v>#N/A</v>
      </c>
      <c r="G217" s="419">
        <f>VLOOKUP(A217,[3]EERR!C:E,3,FALSE)-E217</f>
        <v>0</v>
      </c>
    </row>
    <row r="218" spans="1:7" x14ac:dyDescent="0.2">
      <c r="A218" s="414" t="s">
        <v>1039</v>
      </c>
      <c r="B218" s="414" t="s">
        <v>1040</v>
      </c>
      <c r="C218" s="422">
        <v>-2197998109</v>
      </c>
      <c r="E218" s="412">
        <f t="shared" si="3"/>
        <v>-2197998109</v>
      </c>
      <c r="F218" s="412" t="e">
        <f>-VLOOKUP(A218,'[2]BASE SAP 2022'!B:E,4,FALSE)-E218</f>
        <v>#N/A</v>
      </c>
      <c r="G218" s="419">
        <f>VLOOKUP(A218,[3]EERR!C:E,3,FALSE)-E218</f>
        <v>0</v>
      </c>
    </row>
    <row r="219" spans="1:7" x14ac:dyDescent="0.2">
      <c r="A219" s="414" t="s">
        <v>1041</v>
      </c>
      <c r="B219" s="414" t="s">
        <v>1042</v>
      </c>
      <c r="C219" s="422">
        <v>-350150397</v>
      </c>
      <c r="D219" s="423"/>
      <c r="E219" s="412">
        <f t="shared" si="3"/>
        <v>-350150397</v>
      </c>
      <c r="F219" s="423" t="e">
        <f>-VLOOKUP(A219,'[2]BASE SAP 2022'!B:E,4,FALSE)-E219</f>
        <v>#N/A</v>
      </c>
      <c r="G219" s="424">
        <f>VLOOKUP(A219,[3]EERR!C:E,3,FALSE)-E219</f>
        <v>0</v>
      </c>
    </row>
    <row r="220" spans="1:7" x14ac:dyDescent="0.2">
      <c r="A220" s="414" t="s">
        <v>1043</v>
      </c>
      <c r="B220" s="414" t="s">
        <v>1044</v>
      </c>
      <c r="C220" s="422">
        <v>-41183955</v>
      </c>
      <c r="D220" s="423"/>
      <c r="E220" s="412">
        <f t="shared" si="3"/>
        <v>-41183955</v>
      </c>
      <c r="F220" s="423" t="e">
        <f>-VLOOKUP(A220,'[2]BASE SAP 2022'!B:E,4,FALSE)-E220</f>
        <v>#N/A</v>
      </c>
      <c r="G220" s="424">
        <f>VLOOKUP(A220,[3]EERR!C:E,3,FALSE)-E220</f>
        <v>0</v>
      </c>
    </row>
    <row r="221" spans="1:7" x14ac:dyDescent="0.2">
      <c r="A221" s="414" t="s">
        <v>1045</v>
      </c>
      <c r="B221" s="414" t="s">
        <v>1046</v>
      </c>
      <c r="C221" s="422">
        <v>-116591392</v>
      </c>
      <c r="E221" s="412">
        <f t="shared" si="3"/>
        <v>-116591392</v>
      </c>
      <c r="F221" s="412" t="e">
        <f>-VLOOKUP(A221,'[2]BASE SAP 2022'!B:E,4,FALSE)-E221</f>
        <v>#N/A</v>
      </c>
      <c r="G221" s="419">
        <f>VLOOKUP(A221,[3]EERR!C:E,3,FALSE)-E221</f>
        <v>0</v>
      </c>
    </row>
    <row r="222" spans="1:7" x14ac:dyDescent="0.2">
      <c r="A222" s="414" t="s">
        <v>1047</v>
      </c>
      <c r="B222" s="414" t="s">
        <v>1048</v>
      </c>
      <c r="C222" s="422">
        <v>-186465639</v>
      </c>
      <c r="E222" s="412">
        <f t="shared" si="3"/>
        <v>-186465639</v>
      </c>
      <c r="F222" s="412" t="e">
        <f>-VLOOKUP(A222,'[2]BASE SAP 2022'!B:E,4,FALSE)-E222</f>
        <v>#N/A</v>
      </c>
      <c r="G222" s="419">
        <f>VLOOKUP(A222,[3]EERR!C:E,3,FALSE)-E222</f>
        <v>0</v>
      </c>
    </row>
    <row r="223" spans="1:7" x14ac:dyDescent="0.2">
      <c r="A223" s="414" t="s">
        <v>1049</v>
      </c>
      <c r="B223" s="414" t="s">
        <v>1050</v>
      </c>
      <c r="C223" s="422">
        <v>-4487077898</v>
      </c>
      <c r="E223" s="412">
        <f t="shared" si="3"/>
        <v>-4487077898</v>
      </c>
      <c r="F223" s="412" t="e">
        <f>-VLOOKUP(A223,'[2]BASE SAP 2022'!B:E,4,FALSE)-E223</f>
        <v>#N/A</v>
      </c>
      <c r="G223" s="419">
        <f>VLOOKUP(A223,[3]EERR!C:E,3,FALSE)-E223</f>
        <v>0</v>
      </c>
    </row>
    <row r="224" spans="1:7" x14ac:dyDescent="0.2">
      <c r="A224" s="414" t="s">
        <v>1051</v>
      </c>
      <c r="B224" s="414" t="s">
        <v>1052</v>
      </c>
      <c r="C224" s="422">
        <v>-601887965</v>
      </c>
      <c r="E224" s="412">
        <f t="shared" si="3"/>
        <v>-601887965</v>
      </c>
      <c r="F224" s="412" t="e">
        <f>-VLOOKUP(A224,'[2]BASE SAP 2022'!B:E,4,FALSE)-E224</f>
        <v>#N/A</v>
      </c>
      <c r="G224" s="419">
        <f>VLOOKUP(A224,[3]EERR!C:E,3,FALSE)-E224</f>
        <v>0</v>
      </c>
    </row>
    <row r="225" spans="1:7" x14ac:dyDescent="0.2">
      <c r="A225" s="414" t="s">
        <v>1053</v>
      </c>
      <c r="B225" s="414" t="s">
        <v>1054</v>
      </c>
      <c r="C225" s="422">
        <v>-6683331278</v>
      </c>
      <c r="E225" s="412">
        <f t="shared" si="3"/>
        <v>-6683331278</v>
      </c>
      <c r="F225" s="412" t="e">
        <f>-VLOOKUP(A225,'[2]BASE SAP 2022'!B:E,4,FALSE)-E225</f>
        <v>#N/A</v>
      </c>
      <c r="G225" s="419">
        <f>VLOOKUP(A225,[3]EERR!C:E,3,FALSE)-E225</f>
        <v>0</v>
      </c>
    </row>
    <row r="226" spans="1:7" x14ac:dyDescent="0.2">
      <c r="A226" s="414" t="s">
        <v>1055</v>
      </c>
      <c r="B226" s="414" t="s">
        <v>1056</v>
      </c>
      <c r="C226" s="422">
        <v>-200380617</v>
      </c>
      <c r="E226" s="412">
        <f t="shared" si="3"/>
        <v>-200380617</v>
      </c>
      <c r="F226" s="412" t="e">
        <f>-VLOOKUP(A226,'[2]BASE SAP 2022'!B:E,4,FALSE)-E226</f>
        <v>#N/A</v>
      </c>
      <c r="G226" s="419">
        <f>VLOOKUP(A226,[3]EERR!C:E,3,FALSE)-E226</f>
        <v>0</v>
      </c>
    </row>
    <row r="227" spans="1:7" x14ac:dyDescent="0.2">
      <c r="A227" s="414" t="s">
        <v>1057</v>
      </c>
      <c r="B227" s="414" t="s">
        <v>1058</v>
      </c>
      <c r="C227" s="422">
        <v>5010396</v>
      </c>
      <c r="E227" s="412">
        <f t="shared" si="3"/>
        <v>5010396</v>
      </c>
      <c r="F227" s="412" t="e">
        <f>-VLOOKUP(A227,'[2]BASE SAP 2022'!B:E,4,FALSE)-E227</f>
        <v>#N/A</v>
      </c>
      <c r="G227" s="419">
        <f>VLOOKUP(A227,[3]EERR!C:E,3,FALSE)-E227</f>
        <v>0</v>
      </c>
    </row>
    <row r="228" spans="1:7" x14ac:dyDescent="0.2">
      <c r="A228" s="414" t="s">
        <v>1059</v>
      </c>
      <c r="B228" s="414" t="s">
        <v>1060</v>
      </c>
      <c r="C228" s="422">
        <v>-4375067</v>
      </c>
      <c r="E228" s="412">
        <f t="shared" si="3"/>
        <v>-4375067</v>
      </c>
      <c r="F228" s="412" t="e">
        <f>-VLOOKUP(A228,'[2]BASE SAP 2022'!B:E,4,FALSE)-E228</f>
        <v>#N/A</v>
      </c>
      <c r="G228" s="419">
        <f>VLOOKUP(A228,[3]EERR!C:E,3,FALSE)-E228</f>
        <v>0</v>
      </c>
    </row>
    <row r="229" spans="1:7" x14ac:dyDescent="0.2">
      <c r="A229" s="414" t="s">
        <v>1061</v>
      </c>
      <c r="B229" s="414" t="s">
        <v>1062</v>
      </c>
      <c r="C229" s="422">
        <v>-17887100</v>
      </c>
      <c r="E229" s="412">
        <f t="shared" si="3"/>
        <v>-17887100</v>
      </c>
      <c r="F229" s="412" t="e">
        <f>-VLOOKUP(A229,'[2]BASE SAP 2022'!B:E,4,FALSE)-E229</f>
        <v>#N/A</v>
      </c>
      <c r="G229" s="419">
        <f>VLOOKUP(A229,[3]EERR!C:E,3,FALSE)-E229</f>
        <v>0</v>
      </c>
    </row>
    <row r="230" spans="1:7" x14ac:dyDescent="0.2">
      <c r="A230" s="414" t="s">
        <v>1063</v>
      </c>
      <c r="B230" s="414" t="s">
        <v>1064</v>
      </c>
      <c r="C230" s="422">
        <v>-19830145</v>
      </c>
      <c r="D230" s="423"/>
      <c r="E230" s="412">
        <f t="shared" si="3"/>
        <v>-19830145</v>
      </c>
      <c r="F230" s="423" t="e">
        <f>-VLOOKUP(A230,'[2]BASE SAP 2022'!B:E,4,FALSE)-E230</f>
        <v>#N/A</v>
      </c>
      <c r="G230" s="424">
        <f>VLOOKUP(A230,[3]EERR!C:E,3,FALSE)-E230</f>
        <v>0</v>
      </c>
    </row>
    <row r="231" spans="1:7" x14ac:dyDescent="0.2">
      <c r="A231" s="414" t="s">
        <v>1065</v>
      </c>
      <c r="B231" s="414" t="s">
        <v>1066</v>
      </c>
      <c r="C231" s="422">
        <v>-16372150911</v>
      </c>
      <c r="E231" s="412">
        <f t="shared" si="3"/>
        <v>-16372150911</v>
      </c>
      <c r="F231" s="412" t="e">
        <f>-VLOOKUP(A231,'[2]BASE SAP 2022'!B:E,4,FALSE)-E231</f>
        <v>#N/A</v>
      </c>
      <c r="G231" s="419">
        <f>VLOOKUP(A231,[3]EERR!C:E,3,FALSE)-E231</f>
        <v>0</v>
      </c>
    </row>
    <row r="232" spans="1:7" x14ac:dyDescent="0.2">
      <c r="A232" s="414" t="s">
        <v>1067</v>
      </c>
      <c r="B232" s="414" t="s">
        <v>1068</v>
      </c>
      <c r="C232" s="422">
        <v>-200564153</v>
      </c>
      <c r="E232" s="412">
        <f t="shared" si="3"/>
        <v>-200564153</v>
      </c>
      <c r="F232" s="412" t="e">
        <f>-VLOOKUP(A232,'[2]BASE SAP 2022'!B:E,4,FALSE)-E232</f>
        <v>#N/A</v>
      </c>
      <c r="G232" s="419">
        <f>VLOOKUP(A232,[3]EERR!C:E,3,FALSE)-E232</f>
        <v>0</v>
      </c>
    </row>
    <row r="233" spans="1:7" x14ac:dyDescent="0.2">
      <c r="A233" s="414" t="s">
        <v>1069</v>
      </c>
      <c r="B233" s="414" t="s">
        <v>1070</v>
      </c>
      <c r="C233" s="422">
        <v>-93961557</v>
      </c>
      <c r="E233" s="412">
        <f t="shared" si="3"/>
        <v>-93961557</v>
      </c>
      <c r="F233" s="412" t="e">
        <f>-VLOOKUP(A233,'[2]BASE SAP 2022'!B:E,4,FALSE)-E233</f>
        <v>#N/A</v>
      </c>
      <c r="G233" s="419">
        <f>VLOOKUP(A233,[3]EERR!C:E,3,FALSE)-E233</f>
        <v>0</v>
      </c>
    </row>
    <row r="234" spans="1:7" x14ac:dyDescent="0.2">
      <c r="A234" s="414" t="s">
        <v>1071</v>
      </c>
      <c r="B234" s="414" t="s">
        <v>1072</v>
      </c>
      <c r="C234" s="422">
        <v>-102903992</v>
      </c>
      <c r="E234" s="412">
        <f t="shared" si="3"/>
        <v>-102903992</v>
      </c>
      <c r="F234" s="412" t="e">
        <f>-VLOOKUP(A234,'[2]BASE SAP 2022'!B:E,4,FALSE)-E234</f>
        <v>#N/A</v>
      </c>
      <c r="G234" s="419">
        <f>VLOOKUP(A234,[3]EERR!C:E,3,FALSE)-E234</f>
        <v>0</v>
      </c>
    </row>
    <row r="235" spans="1:7" x14ac:dyDescent="0.2">
      <c r="A235" s="414" t="s">
        <v>1073</v>
      </c>
      <c r="B235" s="414" t="s">
        <v>1074</v>
      </c>
      <c r="C235" s="422">
        <v>-760556849</v>
      </c>
      <c r="E235" s="412">
        <f t="shared" si="3"/>
        <v>-760556849</v>
      </c>
      <c r="F235" s="412" t="e">
        <f>-VLOOKUP(A235,'[2]BASE SAP 2022'!B:E,4,FALSE)-E235</f>
        <v>#N/A</v>
      </c>
      <c r="G235" s="419">
        <f>VLOOKUP(A235,[3]EERR!C:E,3,FALSE)-E235</f>
        <v>0</v>
      </c>
    </row>
    <row r="236" spans="1:7" x14ac:dyDescent="0.2">
      <c r="A236" s="414" t="s">
        <v>1075</v>
      </c>
      <c r="B236" s="414" t="s">
        <v>1076</v>
      </c>
      <c r="C236" s="422">
        <v>-532755170</v>
      </c>
      <c r="E236" s="412">
        <f t="shared" si="3"/>
        <v>-532755170</v>
      </c>
      <c r="F236" s="412" t="e">
        <f>-VLOOKUP(A236,'[2]BASE SAP 2022'!B:E,4,FALSE)-E236</f>
        <v>#N/A</v>
      </c>
      <c r="G236" s="419">
        <f>VLOOKUP(A236,[3]EERR!C:E,3,FALSE)-E236</f>
        <v>0</v>
      </c>
    </row>
    <row r="237" spans="1:7" x14ac:dyDescent="0.2">
      <c r="A237" s="414" t="s">
        <v>1077</v>
      </c>
      <c r="B237" s="414" t="s">
        <v>1078</v>
      </c>
      <c r="C237" s="422">
        <v>-1500833675</v>
      </c>
      <c r="E237" s="412">
        <f t="shared" si="3"/>
        <v>-1500833675</v>
      </c>
      <c r="F237" s="412" t="e">
        <f>-VLOOKUP(A237,'[2]BASE SAP 2022'!B:E,4,FALSE)-E237</f>
        <v>#N/A</v>
      </c>
      <c r="G237" s="419">
        <f>VLOOKUP(A237,[3]EERR!C:E,3,FALSE)-E237</f>
        <v>0</v>
      </c>
    </row>
    <row r="238" spans="1:7" x14ac:dyDescent="0.2">
      <c r="A238" s="414" t="s">
        <v>1079</v>
      </c>
      <c r="B238" s="414" t="s">
        <v>1080</v>
      </c>
      <c r="C238" s="422">
        <v>-150855748</v>
      </c>
      <c r="E238" s="412">
        <f t="shared" si="3"/>
        <v>-150855748</v>
      </c>
      <c r="F238" s="412" t="e">
        <f>-VLOOKUP(A238,'[2]BASE SAP 2022'!B:E,4,FALSE)-E238</f>
        <v>#N/A</v>
      </c>
      <c r="G238" s="419">
        <f>VLOOKUP(A238,[3]EERR!C:E,3,FALSE)-E238</f>
        <v>0</v>
      </c>
    </row>
    <row r="239" spans="1:7" x14ac:dyDescent="0.2">
      <c r="A239" s="414" t="s">
        <v>1081</v>
      </c>
      <c r="B239" s="414" t="s">
        <v>1082</v>
      </c>
      <c r="C239" s="422">
        <v>-92190278</v>
      </c>
      <c r="E239" s="412">
        <f t="shared" si="3"/>
        <v>-92190278</v>
      </c>
      <c r="F239" s="412" t="e">
        <f>-VLOOKUP(A239,'[2]BASE SAP 2022'!B:E,4,FALSE)-E239</f>
        <v>#N/A</v>
      </c>
      <c r="G239" s="419">
        <f>VLOOKUP(A239,[3]EERR!C:E,3,FALSE)-E239</f>
        <v>0</v>
      </c>
    </row>
    <row r="240" spans="1:7" x14ac:dyDescent="0.2">
      <c r="A240" s="414" t="s">
        <v>1083</v>
      </c>
      <c r="B240" s="414" t="s">
        <v>1084</v>
      </c>
      <c r="C240" s="422">
        <v>-111995628</v>
      </c>
      <c r="E240" s="412">
        <f t="shared" si="3"/>
        <v>-111995628</v>
      </c>
      <c r="F240" s="412" t="e">
        <f>-VLOOKUP(A240,'[2]BASE SAP 2022'!B:E,4,FALSE)-E240</f>
        <v>#N/A</v>
      </c>
      <c r="G240" s="419">
        <f>VLOOKUP(A240,[3]EERR!C:E,3,FALSE)-E240</f>
        <v>0</v>
      </c>
    </row>
    <row r="241" spans="1:7" x14ac:dyDescent="0.2">
      <c r="A241" s="414" t="s">
        <v>1085</v>
      </c>
      <c r="B241" s="414" t="s">
        <v>1086</v>
      </c>
      <c r="C241" s="422">
        <v>-3044024078</v>
      </c>
      <c r="E241" s="412">
        <f t="shared" si="3"/>
        <v>-3044024078</v>
      </c>
      <c r="F241" s="412" t="e">
        <f>-VLOOKUP(A241,'[2]BASE SAP 2022'!B:E,4,FALSE)-E241</f>
        <v>#N/A</v>
      </c>
      <c r="G241" s="419">
        <f>VLOOKUP(A241,[3]EERR!C:E,3,FALSE)-E241</f>
        <v>0</v>
      </c>
    </row>
    <row r="242" spans="1:7" x14ac:dyDescent="0.2">
      <c r="A242" s="414" t="s">
        <v>1087</v>
      </c>
      <c r="B242" s="414" t="s">
        <v>1088</v>
      </c>
      <c r="C242" s="422">
        <v>-265132872</v>
      </c>
      <c r="E242" s="412">
        <f t="shared" si="3"/>
        <v>-265132872</v>
      </c>
      <c r="F242" s="412" t="e">
        <f>-VLOOKUP(A242,'[2]BASE SAP 2022'!B:E,4,FALSE)-E242</f>
        <v>#N/A</v>
      </c>
      <c r="G242" s="419">
        <f>VLOOKUP(A242,[3]EERR!C:E,3,FALSE)-E242</f>
        <v>0</v>
      </c>
    </row>
    <row r="243" spans="1:7" x14ac:dyDescent="0.2">
      <c r="A243" s="414" t="s">
        <v>1089</v>
      </c>
      <c r="B243" s="414" t="s">
        <v>1090</v>
      </c>
      <c r="C243" s="422">
        <v>-1166561640</v>
      </c>
      <c r="E243" s="412">
        <f t="shared" si="3"/>
        <v>-1166561640</v>
      </c>
      <c r="F243" s="412" t="e">
        <f>-VLOOKUP(A243,'[2]BASE SAP 2022'!B:E,4,FALSE)-E243</f>
        <v>#N/A</v>
      </c>
      <c r="G243" s="419">
        <f>VLOOKUP(A243,[3]EERR!C:E,3,FALSE)-E243</f>
        <v>0</v>
      </c>
    </row>
    <row r="244" spans="1:7" x14ac:dyDescent="0.2">
      <c r="A244" s="414" t="s">
        <v>1091</v>
      </c>
      <c r="B244" s="414" t="s">
        <v>1092</v>
      </c>
      <c r="C244" s="422">
        <v>-162114032</v>
      </c>
      <c r="E244" s="412">
        <f t="shared" si="3"/>
        <v>-162114032</v>
      </c>
      <c r="F244" s="412" t="e">
        <f>-VLOOKUP(A244,'[2]BASE SAP 2022'!B:E,4,FALSE)-E244</f>
        <v>#N/A</v>
      </c>
      <c r="G244" s="419">
        <f>VLOOKUP(A244,[3]EERR!C:E,3,FALSE)-E244</f>
        <v>0</v>
      </c>
    </row>
    <row r="245" spans="1:7" x14ac:dyDescent="0.2">
      <c r="A245" s="414" t="s">
        <v>1093</v>
      </c>
      <c r="B245" s="414" t="s">
        <v>1094</v>
      </c>
      <c r="C245" s="422">
        <v>-776818190</v>
      </c>
      <c r="E245" s="412">
        <f t="shared" si="3"/>
        <v>-776818190</v>
      </c>
      <c r="F245" s="412" t="e">
        <f>-VLOOKUP(A245,'[2]BASE SAP 2022'!B:E,4,FALSE)-E245</f>
        <v>#N/A</v>
      </c>
      <c r="G245" s="419">
        <f>VLOOKUP(A245,[3]EERR!C:E,3,FALSE)-E245</f>
        <v>0</v>
      </c>
    </row>
    <row r="246" spans="1:7" x14ac:dyDescent="0.2">
      <c r="A246" s="414" t="s">
        <v>1095</v>
      </c>
      <c r="B246" s="414" t="s">
        <v>1096</v>
      </c>
      <c r="C246" s="422">
        <v>-36093077</v>
      </c>
      <c r="E246" s="412">
        <f t="shared" si="3"/>
        <v>-36093077</v>
      </c>
      <c r="F246" s="412" t="e">
        <f>-VLOOKUP(A246,'[2]BASE SAP 2022'!B:E,4,FALSE)-E246</f>
        <v>#N/A</v>
      </c>
      <c r="G246" s="419">
        <f>VLOOKUP(A246,[3]EERR!C:E,3,FALSE)-E246</f>
        <v>0</v>
      </c>
    </row>
    <row r="247" spans="1:7" x14ac:dyDescent="0.2">
      <c r="A247" s="414" t="s">
        <v>1097</v>
      </c>
      <c r="B247" s="414" t="s">
        <v>1098</v>
      </c>
      <c r="C247" s="422">
        <v>-134066424</v>
      </c>
      <c r="E247" s="412">
        <f t="shared" si="3"/>
        <v>-134066424</v>
      </c>
      <c r="F247" s="412" t="e">
        <f>-VLOOKUP(A247,'[2]BASE SAP 2022'!B:E,4,FALSE)-E247</f>
        <v>#N/A</v>
      </c>
      <c r="G247" s="419">
        <f>VLOOKUP(A247,[3]EERR!C:E,3,FALSE)-E247</f>
        <v>0</v>
      </c>
    </row>
    <row r="248" spans="1:7" x14ac:dyDescent="0.2">
      <c r="A248" s="414" t="s">
        <v>1099</v>
      </c>
      <c r="B248" s="414" t="s">
        <v>1100</v>
      </c>
      <c r="C248" s="422">
        <v>-685048801</v>
      </c>
      <c r="E248" s="412">
        <f t="shared" si="3"/>
        <v>-685048801</v>
      </c>
      <c r="F248" s="412" t="e">
        <f>-VLOOKUP(A248,'[2]BASE SAP 2022'!B:E,4,FALSE)-E248</f>
        <v>#N/A</v>
      </c>
      <c r="G248" s="419">
        <f>VLOOKUP(A248,[3]EERR!C:E,3,FALSE)-E248</f>
        <v>0</v>
      </c>
    </row>
    <row r="249" spans="1:7" x14ac:dyDescent="0.2">
      <c r="A249" s="414" t="s">
        <v>1101</v>
      </c>
      <c r="B249" s="414" t="s">
        <v>1102</v>
      </c>
      <c r="C249" s="422">
        <v>-26989268</v>
      </c>
      <c r="E249" s="412">
        <f t="shared" si="3"/>
        <v>-26989268</v>
      </c>
      <c r="F249" s="412" t="e">
        <f>-VLOOKUP(A249,'[2]BASE SAP 2022'!B:E,4,FALSE)-E249</f>
        <v>#N/A</v>
      </c>
      <c r="G249" s="419">
        <f>VLOOKUP(A249,[3]EERR!C:E,3,FALSE)-E249</f>
        <v>0</v>
      </c>
    </row>
    <row r="250" spans="1:7" x14ac:dyDescent="0.2">
      <c r="A250" s="414" t="s">
        <v>1103</v>
      </c>
      <c r="B250" s="414" t="s">
        <v>1104</v>
      </c>
      <c r="C250" s="422">
        <v>-34861885</v>
      </c>
      <c r="E250" s="412">
        <f t="shared" si="3"/>
        <v>-34861885</v>
      </c>
      <c r="F250" s="412" t="e">
        <f>-VLOOKUP(A250,'[2]BASE SAP 2022'!B:E,4,FALSE)-E250</f>
        <v>#N/A</v>
      </c>
      <c r="G250" s="419">
        <f>VLOOKUP(A250,[3]EERR!C:E,3,FALSE)-E250</f>
        <v>0</v>
      </c>
    </row>
    <row r="251" spans="1:7" x14ac:dyDescent="0.2">
      <c r="A251" s="414" t="s">
        <v>1105</v>
      </c>
      <c r="B251" s="414" t="s">
        <v>1106</v>
      </c>
      <c r="C251" s="422">
        <v>-10580312</v>
      </c>
      <c r="E251" s="412">
        <f t="shared" si="3"/>
        <v>-10580312</v>
      </c>
      <c r="F251" s="412" t="e">
        <f>-VLOOKUP(A251,'[2]BASE SAP 2022'!B:E,4,FALSE)-E251</f>
        <v>#N/A</v>
      </c>
      <c r="G251" s="419">
        <f>VLOOKUP(A251,[3]EERR!C:E,3,FALSE)-E251</f>
        <v>0</v>
      </c>
    </row>
    <row r="252" spans="1:7" x14ac:dyDescent="0.2">
      <c r="A252" s="414" t="s">
        <v>1107</v>
      </c>
      <c r="B252" s="414" t="s">
        <v>1108</v>
      </c>
      <c r="C252" s="422">
        <v>-150383892</v>
      </c>
      <c r="E252" s="412">
        <f t="shared" si="3"/>
        <v>-150383892</v>
      </c>
      <c r="F252" s="412" t="e">
        <f>-VLOOKUP(A252,'[2]BASE SAP 2022'!B:E,4,FALSE)-E252</f>
        <v>#N/A</v>
      </c>
      <c r="G252" s="419">
        <f>VLOOKUP(A252,[3]EERR!C:E,3,FALSE)-E252</f>
        <v>0</v>
      </c>
    </row>
    <row r="253" spans="1:7" x14ac:dyDescent="0.2">
      <c r="A253" s="414" t="s">
        <v>1109</v>
      </c>
      <c r="B253" s="414" t="s">
        <v>1110</v>
      </c>
      <c r="C253" s="422">
        <v>-15669945</v>
      </c>
      <c r="E253" s="412">
        <f t="shared" si="3"/>
        <v>-15669945</v>
      </c>
      <c r="F253" s="412" t="e">
        <f>-VLOOKUP(A253,'[2]BASE SAP 2022'!B:E,4,FALSE)-E253</f>
        <v>#N/A</v>
      </c>
      <c r="G253" s="419">
        <f>VLOOKUP(A253,[3]EERR!C:E,3,FALSE)-E253</f>
        <v>0</v>
      </c>
    </row>
    <row r="254" spans="1:7" x14ac:dyDescent="0.2">
      <c r="A254" s="414" t="s">
        <v>1111</v>
      </c>
      <c r="B254" s="414" t="s">
        <v>1112</v>
      </c>
      <c r="C254" s="422">
        <v>-117808964</v>
      </c>
      <c r="E254" s="412">
        <f t="shared" si="3"/>
        <v>-117808964</v>
      </c>
      <c r="F254" s="412" t="e">
        <f>-VLOOKUP(A254,'[2]BASE SAP 2022'!B:E,4,FALSE)-E254</f>
        <v>#N/A</v>
      </c>
      <c r="G254" s="419">
        <f>VLOOKUP(A254,[3]EERR!C:E,3,FALSE)-E254</f>
        <v>0</v>
      </c>
    </row>
    <row r="255" spans="1:7" x14ac:dyDescent="0.2">
      <c r="A255" s="414" t="s">
        <v>1113</v>
      </c>
      <c r="B255" s="414" t="s">
        <v>1114</v>
      </c>
      <c r="C255" s="422">
        <v>-119464855</v>
      </c>
      <c r="E255" s="412">
        <f t="shared" si="3"/>
        <v>-119464855</v>
      </c>
      <c r="F255" s="412" t="e">
        <f>-VLOOKUP(A255,'[2]BASE SAP 2022'!B:E,4,FALSE)-E255</f>
        <v>#N/A</v>
      </c>
      <c r="G255" s="419">
        <f>VLOOKUP(A255,[3]EERR!C:E,3,FALSE)-E255</f>
        <v>0</v>
      </c>
    </row>
    <row r="256" spans="1:7" x14ac:dyDescent="0.2">
      <c r="A256" s="414" t="s">
        <v>1115</v>
      </c>
      <c r="B256" s="414" t="s">
        <v>1116</v>
      </c>
      <c r="C256" s="422">
        <v>-142916720</v>
      </c>
      <c r="E256" s="412">
        <f t="shared" si="3"/>
        <v>-142916720</v>
      </c>
      <c r="F256" s="412" t="e">
        <f>-VLOOKUP(A256,'[2]BASE SAP 2022'!B:E,4,FALSE)-E256</f>
        <v>#N/A</v>
      </c>
      <c r="G256" s="419">
        <f>VLOOKUP(A256,[3]EERR!C:E,3,FALSE)-E256</f>
        <v>0</v>
      </c>
    </row>
    <row r="257" spans="1:7" x14ac:dyDescent="0.2">
      <c r="A257" s="414" t="s">
        <v>1117</v>
      </c>
      <c r="B257" s="414" t="s">
        <v>1118</v>
      </c>
      <c r="C257" s="422">
        <v>-54722608</v>
      </c>
      <c r="E257" s="412">
        <f t="shared" si="3"/>
        <v>-54722608</v>
      </c>
      <c r="F257" s="412" t="e">
        <f>-VLOOKUP(A257,'[2]BASE SAP 2022'!B:E,4,FALSE)-E257</f>
        <v>#N/A</v>
      </c>
      <c r="G257" s="419">
        <f>VLOOKUP(A257,[3]EERR!C:E,3,FALSE)-E257</f>
        <v>0</v>
      </c>
    </row>
    <row r="258" spans="1:7" x14ac:dyDescent="0.2">
      <c r="A258" s="414" t="s">
        <v>1119</v>
      </c>
      <c r="B258" s="414" t="s">
        <v>1120</v>
      </c>
      <c r="C258" s="422">
        <v>-734468191</v>
      </c>
      <c r="E258" s="412">
        <f t="shared" si="3"/>
        <v>-734468191</v>
      </c>
      <c r="F258" s="412" t="e">
        <f>-VLOOKUP(A258,'[2]BASE SAP 2022'!B:E,4,FALSE)-E258</f>
        <v>#N/A</v>
      </c>
      <c r="G258" s="419">
        <f>VLOOKUP(A258,[3]EERR!C:E,3,FALSE)-E258</f>
        <v>0</v>
      </c>
    </row>
    <row r="259" spans="1:7" x14ac:dyDescent="0.2">
      <c r="A259" s="414" t="s">
        <v>1121</v>
      </c>
      <c r="B259" s="414" t="s">
        <v>1122</v>
      </c>
      <c r="C259" s="422">
        <v>-4400000</v>
      </c>
      <c r="E259" s="412">
        <f t="shared" ref="E259:E322" si="4">+C259+D259</f>
        <v>-4400000</v>
      </c>
      <c r="F259" s="412" t="e">
        <f>-VLOOKUP(A259,'[2]BASE SAP 2022'!B:E,4,FALSE)-E259</f>
        <v>#N/A</v>
      </c>
      <c r="G259" s="419">
        <f>VLOOKUP(A259,[3]EERR!C:E,3,FALSE)-E259</f>
        <v>0</v>
      </c>
    </row>
    <row r="260" spans="1:7" x14ac:dyDescent="0.2">
      <c r="A260" s="414" t="s">
        <v>1123</v>
      </c>
      <c r="B260" s="414" t="s">
        <v>1124</v>
      </c>
      <c r="C260" s="422">
        <v>-95672677</v>
      </c>
      <c r="E260" s="412">
        <f t="shared" si="4"/>
        <v>-95672677</v>
      </c>
      <c r="F260" s="412" t="e">
        <f>-VLOOKUP(A260,'[2]BASE SAP 2022'!B:E,4,FALSE)-E260</f>
        <v>#N/A</v>
      </c>
      <c r="G260" s="419">
        <f>VLOOKUP(A260,[3]EERR!C:E,3,FALSE)-E260</f>
        <v>0</v>
      </c>
    </row>
    <row r="261" spans="1:7" x14ac:dyDescent="0.2">
      <c r="A261" s="414" t="s">
        <v>1125</v>
      </c>
      <c r="B261" s="414" t="s">
        <v>1126</v>
      </c>
      <c r="C261" s="422">
        <v>-22964024</v>
      </c>
      <c r="E261" s="412">
        <f t="shared" si="4"/>
        <v>-22964024</v>
      </c>
      <c r="F261" s="412" t="e">
        <f>-VLOOKUP(A261,'[2]BASE SAP 2022'!B:E,4,FALSE)-E261</f>
        <v>#N/A</v>
      </c>
      <c r="G261" s="419">
        <f>VLOOKUP(A261,[3]EERR!C:E,3,FALSE)-E261</f>
        <v>0</v>
      </c>
    </row>
    <row r="262" spans="1:7" x14ac:dyDescent="0.2">
      <c r="A262" s="414" t="s">
        <v>1127</v>
      </c>
      <c r="B262" s="414" t="s">
        <v>365</v>
      </c>
      <c r="C262" s="422">
        <v>-2208805777</v>
      </c>
      <c r="E262" s="412">
        <f t="shared" si="4"/>
        <v>-2208805777</v>
      </c>
      <c r="F262" s="412" t="e">
        <f>-VLOOKUP(A262,'[2]BASE SAP 2022'!B:E,4,FALSE)-E262</f>
        <v>#N/A</v>
      </c>
      <c r="G262" s="419">
        <f>VLOOKUP(A262,[3]EERR!C:E,3,FALSE)-E262</f>
        <v>0</v>
      </c>
    </row>
    <row r="263" spans="1:7" x14ac:dyDescent="0.2">
      <c r="A263" s="414" t="s">
        <v>1128</v>
      </c>
      <c r="B263" s="414" t="s">
        <v>1129</v>
      </c>
      <c r="C263" s="422">
        <v>-292086888</v>
      </c>
      <c r="E263" s="412">
        <f t="shared" si="4"/>
        <v>-292086888</v>
      </c>
      <c r="F263" s="412" t="e">
        <f>-VLOOKUP(A263,'[2]BASE SAP 2022'!B:E,4,FALSE)-E263</f>
        <v>#N/A</v>
      </c>
      <c r="G263" s="419">
        <f>VLOOKUP(A263,[3]EERR!C:E,3,FALSE)-E263</f>
        <v>0</v>
      </c>
    </row>
    <row r="264" spans="1:7" x14ac:dyDescent="0.2">
      <c r="A264" s="414" t="s">
        <v>1130</v>
      </c>
      <c r="B264" s="414" t="s">
        <v>1131</v>
      </c>
      <c r="C264" s="422">
        <v>-57795041</v>
      </c>
      <c r="E264" s="412">
        <f t="shared" si="4"/>
        <v>-57795041</v>
      </c>
      <c r="F264" s="412" t="e">
        <f>-VLOOKUP(A264,'[2]BASE SAP 2022'!B:E,4,FALSE)-E264</f>
        <v>#N/A</v>
      </c>
      <c r="G264" s="419">
        <f>VLOOKUP(A264,[3]EERR!C:E,3,FALSE)-E264</f>
        <v>0</v>
      </c>
    </row>
    <row r="265" spans="1:7" x14ac:dyDescent="0.2">
      <c r="A265" s="414" t="s">
        <v>1132</v>
      </c>
      <c r="B265" s="414" t="s">
        <v>1133</v>
      </c>
      <c r="C265" s="422">
        <v>-608858</v>
      </c>
      <c r="E265" s="412">
        <f t="shared" si="4"/>
        <v>-608858</v>
      </c>
      <c r="F265" s="412" t="e">
        <f>-VLOOKUP(A265,'[2]BASE SAP 2022'!B:E,4,FALSE)-E265</f>
        <v>#N/A</v>
      </c>
      <c r="G265" s="419">
        <f>VLOOKUP(A265,[3]EERR!C:E,3,FALSE)-E265</f>
        <v>0</v>
      </c>
    </row>
    <row r="266" spans="1:7" x14ac:dyDescent="0.2">
      <c r="A266" s="414" t="s">
        <v>1134</v>
      </c>
      <c r="B266" s="414" t="s">
        <v>1135</v>
      </c>
      <c r="C266" s="422">
        <v>-3502645508</v>
      </c>
      <c r="E266" s="412">
        <f t="shared" si="4"/>
        <v>-3502645508</v>
      </c>
      <c r="F266" s="412" t="e">
        <f>-VLOOKUP(A266,'[2]BASE SAP 2022'!B:E,4,FALSE)-E266</f>
        <v>#N/A</v>
      </c>
      <c r="G266" s="419">
        <f>VLOOKUP(A266,[3]EERR!C:E,3,FALSE)-E266</f>
        <v>0</v>
      </c>
    </row>
    <row r="267" spans="1:7" x14ac:dyDescent="0.2">
      <c r="A267" s="414" t="s">
        <v>1136</v>
      </c>
      <c r="B267" s="414" t="s">
        <v>1137</v>
      </c>
      <c r="C267" s="422">
        <v>-21428570</v>
      </c>
      <c r="E267" s="412">
        <f t="shared" si="4"/>
        <v>-21428570</v>
      </c>
      <c r="F267" s="412" t="e">
        <f>-VLOOKUP(A267,'[2]BASE SAP 2022'!B:E,4,FALSE)-E267</f>
        <v>#N/A</v>
      </c>
      <c r="G267" s="419">
        <f>VLOOKUP(A267,[3]EERR!C:E,3,FALSE)-E267</f>
        <v>0</v>
      </c>
    </row>
    <row r="268" spans="1:7" x14ac:dyDescent="0.2">
      <c r="A268" s="414" t="s">
        <v>1138</v>
      </c>
      <c r="B268" s="414" t="s">
        <v>1139</v>
      </c>
      <c r="C268" s="422">
        <v>-93052280</v>
      </c>
      <c r="E268" s="412">
        <f t="shared" si="4"/>
        <v>-93052280</v>
      </c>
      <c r="F268" s="412" t="e">
        <f>-VLOOKUP(A268,'[2]BASE SAP 2022'!B:E,4,FALSE)-E268</f>
        <v>#N/A</v>
      </c>
      <c r="G268" s="419">
        <f>VLOOKUP(A268,[3]EERR!C:E,3,FALSE)-E268</f>
        <v>0</v>
      </c>
    </row>
    <row r="269" spans="1:7" x14ac:dyDescent="0.2">
      <c r="A269" s="414" t="s">
        <v>1140</v>
      </c>
      <c r="B269" s="414" t="s">
        <v>1141</v>
      </c>
      <c r="C269" s="422">
        <v>-89028194</v>
      </c>
      <c r="E269" s="412">
        <f t="shared" si="4"/>
        <v>-89028194</v>
      </c>
      <c r="F269" s="412" t="e">
        <f>-VLOOKUP(A269,'[2]BASE SAP 2022'!B:E,4,FALSE)-E269</f>
        <v>#N/A</v>
      </c>
      <c r="G269" s="419">
        <f>VLOOKUP(A269,[3]EERR!C:E,3,FALSE)-E269</f>
        <v>0</v>
      </c>
    </row>
    <row r="270" spans="1:7" x14ac:dyDescent="0.2">
      <c r="A270" s="414" t="s">
        <v>1142</v>
      </c>
      <c r="B270" s="414" t="s">
        <v>1143</v>
      </c>
      <c r="C270" s="422">
        <v>-1870344692</v>
      </c>
      <c r="E270" s="412">
        <f t="shared" si="4"/>
        <v>-1870344692</v>
      </c>
      <c r="F270" s="412" t="e">
        <f>-VLOOKUP(A270,'[2]BASE SAP 2022'!B:E,4,FALSE)-E270</f>
        <v>#N/A</v>
      </c>
      <c r="G270" s="419">
        <f>VLOOKUP(A270,[3]EERR!C:E,3,FALSE)-E270</f>
        <v>0</v>
      </c>
    </row>
    <row r="271" spans="1:7" x14ac:dyDescent="0.2">
      <c r="A271" s="414" t="s">
        <v>1144</v>
      </c>
      <c r="B271" s="414" t="s">
        <v>1145</v>
      </c>
      <c r="C271" s="422">
        <v>-177151565</v>
      </c>
      <c r="E271" s="412">
        <f t="shared" si="4"/>
        <v>-177151565</v>
      </c>
      <c r="F271" s="412" t="e">
        <f>-VLOOKUP(A271,'[2]BASE SAP 2022'!B:E,4,FALSE)-E271</f>
        <v>#N/A</v>
      </c>
      <c r="G271" s="419">
        <f>VLOOKUP(A271,[3]EERR!C:E,3,FALSE)-E271</f>
        <v>0</v>
      </c>
    </row>
    <row r="272" spans="1:7" x14ac:dyDescent="0.2">
      <c r="A272" s="414" t="s">
        <v>1146</v>
      </c>
      <c r="B272" s="414" t="s">
        <v>1147</v>
      </c>
      <c r="C272" s="422">
        <v>-375661382</v>
      </c>
      <c r="E272" s="412">
        <f t="shared" si="4"/>
        <v>-375661382</v>
      </c>
      <c r="F272" s="412" t="e">
        <f>-VLOOKUP(A272,'[2]BASE SAP 2022'!B:E,4,FALSE)-E272</f>
        <v>#N/A</v>
      </c>
      <c r="G272" s="419">
        <f>VLOOKUP(A272,[3]EERR!C:E,3,FALSE)-E272</f>
        <v>0</v>
      </c>
    </row>
    <row r="273" spans="1:7" x14ac:dyDescent="0.2">
      <c r="A273" s="414" t="s">
        <v>1148</v>
      </c>
      <c r="B273" s="414" t="s">
        <v>1149</v>
      </c>
      <c r="C273" s="422">
        <v>-41265899</v>
      </c>
      <c r="E273" s="412">
        <f t="shared" si="4"/>
        <v>-41265899</v>
      </c>
      <c r="F273" s="412" t="e">
        <f>-VLOOKUP(A273,'[2]BASE SAP 2022'!B:E,4,FALSE)-E273</f>
        <v>#N/A</v>
      </c>
      <c r="G273" s="419">
        <f>VLOOKUP(A273,[3]EERR!C:E,3,FALSE)-E273</f>
        <v>0</v>
      </c>
    </row>
    <row r="274" spans="1:7" x14ac:dyDescent="0.2">
      <c r="A274" s="414" t="s">
        <v>1150</v>
      </c>
      <c r="B274" s="414" t="s">
        <v>1151</v>
      </c>
      <c r="C274" s="422">
        <v>-16448287</v>
      </c>
      <c r="E274" s="412">
        <f t="shared" si="4"/>
        <v>-16448287</v>
      </c>
      <c r="F274" s="412" t="e">
        <f>-VLOOKUP(A274,'[2]BASE SAP 2022'!B:E,4,FALSE)-E274</f>
        <v>#N/A</v>
      </c>
      <c r="G274" s="419">
        <f>VLOOKUP(A274,[3]EERR!C:E,3,FALSE)-E274</f>
        <v>0</v>
      </c>
    </row>
    <row r="275" spans="1:7" x14ac:dyDescent="0.2">
      <c r="A275" s="414" t="s">
        <v>1152</v>
      </c>
      <c r="B275" s="414" t="s">
        <v>1153</v>
      </c>
      <c r="C275" s="422">
        <v>-19770744</v>
      </c>
      <c r="E275" s="412">
        <f t="shared" si="4"/>
        <v>-19770744</v>
      </c>
      <c r="F275" s="412" t="e">
        <f>-VLOOKUP(A275,'[2]BASE SAP 2022'!B:E,4,FALSE)-E275</f>
        <v>#N/A</v>
      </c>
      <c r="G275" s="419">
        <f>VLOOKUP(A275,[3]EERR!C:E,3,FALSE)-E275</f>
        <v>0</v>
      </c>
    </row>
    <row r="276" spans="1:7" x14ac:dyDescent="0.2">
      <c r="A276" s="414" t="s">
        <v>1154</v>
      </c>
      <c r="B276" s="414" t="s">
        <v>1155</v>
      </c>
      <c r="C276" s="422">
        <v>-43349995</v>
      </c>
      <c r="E276" s="412">
        <f t="shared" si="4"/>
        <v>-43349995</v>
      </c>
      <c r="F276" s="412" t="e">
        <f>-VLOOKUP(A276,'[2]BASE SAP 2022'!B:E,4,FALSE)-E276</f>
        <v>#N/A</v>
      </c>
      <c r="G276" s="419">
        <f>VLOOKUP(A276,[3]EERR!C:E,3,FALSE)-E276</f>
        <v>0</v>
      </c>
    </row>
    <row r="277" spans="1:7" x14ac:dyDescent="0.2">
      <c r="A277" s="414" t="s">
        <v>1156</v>
      </c>
      <c r="B277" s="414" t="s">
        <v>1157</v>
      </c>
      <c r="C277" s="422">
        <v>-81923587</v>
      </c>
      <c r="E277" s="412">
        <f t="shared" si="4"/>
        <v>-81923587</v>
      </c>
      <c r="F277" s="412" t="e">
        <f>-VLOOKUP(A277,'[2]BASE SAP 2022'!B:E,4,FALSE)-E277</f>
        <v>#N/A</v>
      </c>
      <c r="G277" s="419">
        <f>VLOOKUP(A277,[3]EERR!C:E,3,FALSE)-E277</f>
        <v>0</v>
      </c>
    </row>
    <row r="278" spans="1:7" x14ac:dyDescent="0.2">
      <c r="A278" s="414" t="s">
        <v>1158</v>
      </c>
      <c r="B278" s="414" t="s">
        <v>1159</v>
      </c>
      <c r="C278" s="422">
        <v>-113623143</v>
      </c>
      <c r="E278" s="412">
        <f t="shared" si="4"/>
        <v>-113623143</v>
      </c>
      <c r="F278" s="412" t="e">
        <f>-VLOOKUP(A278,'[2]BASE SAP 2022'!B:E,4,FALSE)-E278</f>
        <v>#N/A</v>
      </c>
      <c r="G278" s="419">
        <f>VLOOKUP(A278,[3]EERR!C:E,3,FALSE)-E278</f>
        <v>0</v>
      </c>
    </row>
    <row r="279" spans="1:7" x14ac:dyDescent="0.2">
      <c r="A279" s="414" t="s">
        <v>1160</v>
      </c>
      <c r="B279" s="414" t="s">
        <v>1161</v>
      </c>
      <c r="C279" s="422">
        <v>-2005111</v>
      </c>
      <c r="E279" s="412">
        <f t="shared" si="4"/>
        <v>-2005111</v>
      </c>
      <c r="F279" s="412" t="e">
        <f>-VLOOKUP(A279,'[2]BASE SAP 2022'!B:E,4,FALSE)-E279</f>
        <v>#N/A</v>
      </c>
      <c r="G279" s="419">
        <f>VLOOKUP(A279,[3]EERR!C:E,3,FALSE)-E279</f>
        <v>0</v>
      </c>
    </row>
    <row r="280" spans="1:7" x14ac:dyDescent="0.2">
      <c r="A280" s="414" t="s">
        <v>1162</v>
      </c>
      <c r="B280" s="414" t="s">
        <v>1163</v>
      </c>
      <c r="C280" s="422">
        <v>-188513923</v>
      </c>
      <c r="E280" s="412">
        <f t="shared" si="4"/>
        <v>-188513923</v>
      </c>
      <c r="F280" s="412" t="e">
        <f>-VLOOKUP(A280,'[2]BASE SAP 2022'!B:E,4,FALSE)-E280</f>
        <v>#N/A</v>
      </c>
      <c r="G280" s="419">
        <f>VLOOKUP(A280,[3]EERR!C:E,3,FALSE)-E280</f>
        <v>0</v>
      </c>
    </row>
    <row r="281" spans="1:7" x14ac:dyDescent="0.2">
      <c r="A281" s="414" t="s">
        <v>1164</v>
      </c>
      <c r="B281" s="414" t="s">
        <v>1165</v>
      </c>
      <c r="C281" s="422">
        <v>-1277546</v>
      </c>
      <c r="E281" s="412">
        <f t="shared" si="4"/>
        <v>-1277546</v>
      </c>
      <c r="F281" s="412" t="e">
        <f>-VLOOKUP(A281,'[2]BASE SAP 2022'!B:E,4,FALSE)-E281</f>
        <v>#N/A</v>
      </c>
      <c r="G281" s="419">
        <f>VLOOKUP(A281,[3]EERR!C:E,3,FALSE)-E281</f>
        <v>0</v>
      </c>
    </row>
    <row r="282" spans="1:7" x14ac:dyDescent="0.2">
      <c r="A282" s="414" t="s">
        <v>1166</v>
      </c>
      <c r="B282" s="414" t="s">
        <v>1167</v>
      </c>
      <c r="C282" s="422">
        <v>-66344230</v>
      </c>
      <c r="E282" s="412">
        <f t="shared" si="4"/>
        <v>-66344230</v>
      </c>
      <c r="F282" s="412" t="e">
        <f>-VLOOKUP(A282,'[2]BASE SAP 2022'!B:E,4,FALSE)-E282</f>
        <v>#N/A</v>
      </c>
      <c r="G282" s="419">
        <f>VLOOKUP(A282,[3]EERR!C:E,3,FALSE)-E282</f>
        <v>0</v>
      </c>
    </row>
    <row r="283" spans="1:7" x14ac:dyDescent="0.2">
      <c r="A283" s="414" t="s">
        <v>1168</v>
      </c>
      <c r="B283" s="414" t="s">
        <v>1169</v>
      </c>
      <c r="C283" s="422">
        <v>-170735491</v>
      </c>
      <c r="E283" s="412">
        <f t="shared" si="4"/>
        <v>-170735491</v>
      </c>
      <c r="F283" s="412" t="e">
        <f>-VLOOKUP(A283,'[2]BASE SAP 2022'!B:E,4,FALSE)-E283</f>
        <v>#N/A</v>
      </c>
      <c r="G283" s="419">
        <f>VLOOKUP(A283,[3]EERR!C:E,3,FALSE)-E283</f>
        <v>0</v>
      </c>
    </row>
    <row r="284" spans="1:7" x14ac:dyDescent="0.2">
      <c r="A284" s="414" t="s">
        <v>1170</v>
      </c>
      <c r="B284" s="414" t="s">
        <v>1171</v>
      </c>
      <c r="C284" s="422">
        <v>-55094517</v>
      </c>
      <c r="E284" s="412">
        <f t="shared" si="4"/>
        <v>-55094517</v>
      </c>
      <c r="F284" s="412" t="e">
        <f>-VLOOKUP(A284,'[2]BASE SAP 2022'!B:E,4,FALSE)-E284</f>
        <v>#N/A</v>
      </c>
      <c r="G284" s="419">
        <f>VLOOKUP(A284,[3]EERR!C:E,3,FALSE)-E284</f>
        <v>0</v>
      </c>
    </row>
    <row r="285" spans="1:7" x14ac:dyDescent="0.2">
      <c r="A285" s="414" t="s">
        <v>1172</v>
      </c>
      <c r="B285" s="414" t="s">
        <v>1173</v>
      </c>
      <c r="C285" s="422">
        <v>-11118192</v>
      </c>
      <c r="E285" s="412">
        <f t="shared" si="4"/>
        <v>-11118192</v>
      </c>
      <c r="F285" s="412" t="e">
        <f>-VLOOKUP(A285,'[2]BASE SAP 2022'!B:E,4,FALSE)-E285</f>
        <v>#N/A</v>
      </c>
      <c r="G285" s="419">
        <f>VLOOKUP(A285,[3]EERR!C:E,3,FALSE)-E285</f>
        <v>0</v>
      </c>
    </row>
    <row r="286" spans="1:7" x14ac:dyDescent="0.2">
      <c r="A286" s="414" t="s">
        <v>1174</v>
      </c>
      <c r="B286" s="414" t="s">
        <v>1175</v>
      </c>
      <c r="C286" s="422">
        <v>-204041401</v>
      </c>
      <c r="E286" s="412">
        <f t="shared" si="4"/>
        <v>-204041401</v>
      </c>
      <c r="F286" s="412" t="e">
        <f>-VLOOKUP(A286,'[2]BASE SAP 2022'!B:E,4,FALSE)-E286</f>
        <v>#N/A</v>
      </c>
      <c r="G286" s="419">
        <f>VLOOKUP(A286,[3]EERR!C:E,3,FALSE)-E286</f>
        <v>0</v>
      </c>
    </row>
    <row r="287" spans="1:7" x14ac:dyDescent="0.2">
      <c r="A287" s="414" t="s">
        <v>1176</v>
      </c>
      <c r="B287" s="414" t="s">
        <v>1177</v>
      </c>
      <c r="C287" s="422">
        <v>-272344657</v>
      </c>
      <c r="E287" s="412">
        <f t="shared" si="4"/>
        <v>-272344657</v>
      </c>
      <c r="F287" s="412" t="e">
        <f>-VLOOKUP(A287,'[2]BASE SAP 2022'!B:E,4,FALSE)-E287</f>
        <v>#N/A</v>
      </c>
      <c r="G287" s="419">
        <f>VLOOKUP(A287,[3]EERR!C:E,3,FALSE)-E287</f>
        <v>0</v>
      </c>
    </row>
    <row r="288" spans="1:7" x14ac:dyDescent="0.2">
      <c r="A288" s="414" t="s">
        <v>1178</v>
      </c>
      <c r="B288" s="414" t="s">
        <v>1179</v>
      </c>
      <c r="C288" s="422">
        <v>-1087287007</v>
      </c>
      <c r="E288" s="412">
        <f t="shared" si="4"/>
        <v>-1087287007</v>
      </c>
      <c r="F288" s="412" t="e">
        <f>-VLOOKUP(A288,'[2]BASE SAP 2022'!B:E,4,FALSE)-E288</f>
        <v>#N/A</v>
      </c>
      <c r="G288" s="419">
        <f>VLOOKUP(A288,[3]EERR!C:E,3,FALSE)-E288</f>
        <v>0</v>
      </c>
    </row>
    <row r="289" spans="1:7" x14ac:dyDescent="0.2">
      <c r="A289" s="414" t="s">
        <v>1180</v>
      </c>
      <c r="B289" s="414" t="s">
        <v>1181</v>
      </c>
      <c r="C289" s="422">
        <v>-116214215</v>
      </c>
      <c r="E289" s="412">
        <f t="shared" si="4"/>
        <v>-116214215</v>
      </c>
      <c r="F289" s="412" t="e">
        <f>-VLOOKUP(A289,'[2]BASE SAP 2022'!B:E,4,FALSE)-E289</f>
        <v>#N/A</v>
      </c>
      <c r="G289" s="419">
        <f>VLOOKUP(A289,[3]EERR!C:E,3,FALSE)-E289</f>
        <v>0</v>
      </c>
    </row>
    <row r="290" spans="1:7" x14ac:dyDescent="0.2">
      <c r="A290" s="414" t="s">
        <v>1182</v>
      </c>
      <c r="B290" s="414" t="s">
        <v>1183</v>
      </c>
      <c r="C290" s="422">
        <v>-3406087841</v>
      </c>
      <c r="E290" s="412">
        <f t="shared" si="4"/>
        <v>-3406087841</v>
      </c>
      <c r="F290" s="412" t="e">
        <f>-VLOOKUP(A290,'[2]BASE SAP 2022'!B:E,4,FALSE)-E290</f>
        <v>#N/A</v>
      </c>
      <c r="G290" s="419">
        <f>VLOOKUP(A290,[3]EERR!C:E,3,FALSE)-E290</f>
        <v>0</v>
      </c>
    </row>
    <row r="291" spans="1:7" x14ac:dyDescent="0.2">
      <c r="A291" s="414" t="s">
        <v>1184</v>
      </c>
      <c r="B291" s="414" t="s">
        <v>1185</v>
      </c>
      <c r="C291" s="422">
        <v>-126536280</v>
      </c>
      <c r="E291" s="412">
        <f t="shared" si="4"/>
        <v>-126536280</v>
      </c>
      <c r="F291" s="412" t="e">
        <f>-VLOOKUP(A291,'[2]BASE SAP 2022'!B:E,4,FALSE)-E291</f>
        <v>#N/A</v>
      </c>
      <c r="G291" s="419">
        <f>VLOOKUP(A291,[3]EERR!C:E,3,FALSE)-E291</f>
        <v>0</v>
      </c>
    </row>
    <row r="292" spans="1:7" x14ac:dyDescent="0.2">
      <c r="A292" s="414" t="s">
        <v>1186</v>
      </c>
      <c r="B292" s="414" t="s">
        <v>1187</v>
      </c>
      <c r="C292" s="422">
        <v>-676258805</v>
      </c>
      <c r="E292" s="412">
        <f t="shared" si="4"/>
        <v>-676258805</v>
      </c>
      <c r="F292" s="412" t="e">
        <f>-VLOOKUP(A292,'[2]BASE SAP 2022'!B:E,4,FALSE)-E292</f>
        <v>#N/A</v>
      </c>
      <c r="G292" s="419">
        <f>VLOOKUP(A292,[3]EERR!C:E,3,FALSE)-E292</f>
        <v>0</v>
      </c>
    </row>
    <row r="293" spans="1:7" x14ac:dyDescent="0.2">
      <c r="A293" s="414" t="s">
        <v>1188</v>
      </c>
      <c r="B293" s="414" t="s">
        <v>291</v>
      </c>
      <c r="C293" s="422">
        <v>-25361520</v>
      </c>
      <c r="E293" s="412">
        <f t="shared" si="4"/>
        <v>-25361520</v>
      </c>
      <c r="F293" s="412" t="e">
        <f>-VLOOKUP(A293,'[2]BASE SAP 2022'!B:E,4,FALSE)-E293</f>
        <v>#N/A</v>
      </c>
      <c r="G293" s="419">
        <f>VLOOKUP(A293,[3]EERR!C:E,3,FALSE)-E293</f>
        <v>0</v>
      </c>
    </row>
    <row r="294" spans="1:7" x14ac:dyDescent="0.2">
      <c r="A294" s="414" t="s">
        <v>1189</v>
      </c>
      <c r="B294" s="414" t="s">
        <v>1190</v>
      </c>
      <c r="C294" s="422">
        <v>-45589151</v>
      </c>
      <c r="E294" s="412">
        <f t="shared" si="4"/>
        <v>-45589151</v>
      </c>
      <c r="F294" s="412" t="e">
        <f>-VLOOKUP(A294,'[2]BASE SAP 2022'!B:E,4,FALSE)-E294</f>
        <v>#N/A</v>
      </c>
      <c r="G294" s="419">
        <f>VLOOKUP(A294,[3]EERR!C:E,3,FALSE)-E294</f>
        <v>0</v>
      </c>
    </row>
    <row r="295" spans="1:7" x14ac:dyDescent="0.2">
      <c r="A295" s="414" t="s">
        <v>1191</v>
      </c>
      <c r="B295" s="414" t="s">
        <v>1192</v>
      </c>
      <c r="C295" s="422">
        <v>-118012048</v>
      </c>
      <c r="E295" s="412">
        <f t="shared" si="4"/>
        <v>-118012048</v>
      </c>
      <c r="F295" s="412" t="e">
        <f>-VLOOKUP(A295,'[2]BASE SAP 2022'!B:E,4,FALSE)-E295</f>
        <v>#N/A</v>
      </c>
      <c r="G295" s="419">
        <f>VLOOKUP(A295,[3]EERR!C:E,3,FALSE)-E295</f>
        <v>0</v>
      </c>
    </row>
    <row r="296" spans="1:7" x14ac:dyDescent="0.2">
      <c r="A296" s="414" t="s">
        <v>1193</v>
      </c>
      <c r="B296" s="414" t="s">
        <v>1194</v>
      </c>
      <c r="C296" s="422">
        <v>-15940045</v>
      </c>
      <c r="E296" s="412">
        <f t="shared" si="4"/>
        <v>-15940045</v>
      </c>
      <c r="F296" s="412" t="e">
        <f>-VLOOKUP(A296,'[2]BASE SAP 2022'!B:E,4,FALSE)-E296</f>
        <v>#N/A</v>
      </c>
      <c r="G296" s="419">
        <f>VLOOKUP(A296,[3]EERR!C:E,3,FALSE)-E296</f>
        <v>0</v>
      </c>
    </row>
    <row r="297" spans="1:7" x14ac:dyDescent="0.2">
      <c r="A297" s="414" t="s">
        <v>1195</v>
      </c>
      <c r="B297" s="414" t="s">
        <v>1196</v>
      </c>
      <c r="C297" s="422">
        <v>-37550850</v>
      </c>
      <c r="E297" s="412">
        <f t="shared" si="4"/>
        <v>-37550850</v>
      </c>
      <c r="F297" s="412" t="e">
        <f>-VLOOKUP(A297,'[2]BASE SAP 2022'!B:E,4,FALSE)-E297</f>
        <v>#N/A</v>
      </c>
      <c r="G297" s="419">
        <f>VLOOKUP(A297,[3]EERR!C:E,3,FALSE)-E297</f>
        <v>0</v>
      </c>
    </row>
    <row r="298" spans="1:7" x14ac:dyDescent="0.2">
      <c r="A298" s="414" t="s">
        <v>1197</v>
      </c>
      <c r="B298" s="414" t="s">
        <v>1198</v>
      </c>
      <c r="C298" s="422">
        <v>-89374848</v>
      </c>
      <c r="E298" s="412">
        <f t="shared" si="4"/>
        <v>-89374848</v>
      </c>
      <c r="F298" s="412" t="e">
        <f>-VLOOKUP(A298,'[2]BASE SAP 2022'!B:E,4,FALSE)-E298</f>
        <v>#N/A</v>
      </c>
      <c r="G298" s="419">
        <f>VLOOKUP(A298,[3]EERR!C:E,3,FALSE)-E298</f>
        <v>0</v>
      </c>
    </row>
    <row r="299" spans="1:7" x14ac:dyDescent="0.2">
      <c r="A299" s="414" t="s">
        <v>1199</v>
      </c>
      <c r="B299" s="414" t="s">
        <v>1200</v>
      </c>
      <c r="C299" s="422">
        <v>-1278764232</v>
      </c>
      <c r="E299" s="412">
        <f t="shared" si="4"/>
        <v>-1278764232</v>
      </c>
      <c r="F299" s="412" t="e">
        <f>-VLOOKUP(A299,'[2]BASE SAP 2022'!B:E,4,FALSE)-E299</f>
        <v>#N/A</v>
      </c>
      <c r="G299" s="419">
        <f>VLOOKUP(A299,[3]EERR!C:E,3,FALSE)-E299</f>
        <v>0</v>
      </c>
    </row>
    <row r="300" spans="1:7" x14ac:dyDescent="0.2">
      <c r="A300" s="414" t="s">
        <v>1201</v>
      </c>
      <c r="B300" s="414" t="s">
        <v>1202</v>
      </c>
      <c r="C300" s="422">
        <v>-158646513</v>
      </c>
      <c r="E300" s="412">
        <f t="shared" si="4"/>
        <v>-158646513</v>
      </c>
      <c r="F300" s="412" t="e">
        <f>-VLOOKUP(A300,'[2]BASE SAP 2022'!B:E,4,FALSE)-E300</f>
        <v>#N/A</v>
      </c>
      <c r="G300" s="419">
        <f>VLOOKUP(A300,[3]EERR!C:E,3,FALSE)-E300</f>
        <v>0</v>
      </c>
    </row>
    <row r="301" spans="1:7" x14ac:dyDescent="0.2">
      <c r="A301" s="414" t="s">
        <v>1203</v>
      </c>
      <c r="B301" s="414" t="s">
        <v>1204</v>
      </c>
      <c r="C301" s="422">
        <v>-304788165</v>
      </c>
      <c r="E301" s="412">
        <f t="shared" si="4"/>
        <v>-304788165</v>
      </c>
      <c r="F301" s="412" t="e">
        <f>-VLOOKUP(A301,'[2]BASE SAP 2022'!B:E,4,FALSE)-E301</f>
        <v>#N/A</v>
      </c>
      <c r="G301" s="419">
        <f>VLOOKUP(A301,[3]EERR!C:E,3,FALSE)-E301</f>
        <v>0</v>
      </c>
    </row>
    <row r="302" spans="1:7" x14ac:dyDescent="0.2">
      <c r="A302" s="414" t="s">
        <v>1205</v>
      </c>
      <c r="B302" s="414" t="s">
        <v>1206</v>
      </c>
      <c r="C302" s="422">
        <v>-2942067704</v>
      </c>
      <c r="E302" s="412">
        <f t="shared" si="4"/>
        <v>-2942067704</v>
      </c>
      <c r="F302" s="412" t="e">
        <f>-VLOOKUP(A302,'[2]BASE SAP 2022'!B:E,4,FALSE)-E302</f>
        <v>#N/A</v>
      </c>
      <c r="G302" s="419">
        <f>VLOOKUP(A302,[3]EERR!C:E,3,FALSE)-E302</f>
        <v>0</v>
      </c>
    </row>
    <row r="303" spans="1:7" x14ac:dyDescent="0.2">
      <c r="A303" s="414" t="s">
        <v>1207</v>
      </c>
      <c r="B303" s="414" t="s">
        <v>1208</v>
      </c>
      <c r="C303" s="422">
        <v>-13967546</v>
      </c>
      <c r="E303" s="412">
        <f t="shared" si="4"/>
        <v>-13967546</v>
      </c>
      <c r="F303" s="412" t="e">
        <f>-VLOOKUP(A303,'[2]BASE SAP 2022'!B:E,4,FALSE)-E303</f>
        <v>#N/A</v>
      </c>
      <c r="G303" s="419">
        <f>VLOOKUP(A303,[3]EERR!C:E,3,FALSE)-E303</f>
        <v>0</v>
      </c>
    </row>
    <row r="304" spans="1:7" x14ac:dyDescent="0.2">
      <c r="A304" s="414" t="s">
        <v>1209</v>
      </c>
      <c r="B304" s="414" t="s">
        <v>1210</v>
      </c>
      <c r="C304" s="422">
        <v>-736902059</v>
      </c>
      <c r="E304" s="412">
        <f t="shared" si="4"/>
        <v>-736902059</v>
      </c>
      <c r="F304" s="412" t="e">
        <f>-VLOOKUP(A304,'[2]BASE SAP 2022'!B:E,4,FALSE)-E304</f>
        <v>#N/A</v>
      </c>
      <c r="G304" s="419">
        <f>VLOOKUP(A304,[3]EERR!C:E,3,FALSE)-E304</f>
        <v>0</v>
      </c>
    </row>
    <row r="305" spans="1:7" x14ac:dyDescent="0.2">
      <c r="A305" s="414" t="s">
        <v>1211</v>
      </c>
      <c r="B305" s="414" t="s">
        <v>1212</v>
      </c>
      <c r="C305" s="422">
        <v>-3758700</v>
      </c>
      <c r="E305" s="412">
        <f t="shared" si="4"/>
        <v>-3758700</v>
      </c>
      <c r="F305" s="412" t="e">
        <f>-VLOOKUP(A305,'[2]BASE SAP 2022'!B:E,4,FALSE)-E305</f>
        <v>#N/A</v>
      </c>
      <c r="G305" s="419">
        <f>VLOOKUP(A305,[3]EERR!C:E,3,FALSE)-E305</f>
        <v>0</v>
      </c>
    </row>
    <row r="306" spans="1:7" x14ac:dyDescent="0.2">
      <c r="A306" s="414" t="s">
        <v>1213</v>
      </c>
      <c r="B306" s="414" t="s">
        <v>372</v>
      </c>
      <c r="C306" s="422">
        <v>-855091423</v>
      </c>
      <c r="E306" s="412">
        <f t="shared" si="4"/>
        <v>-855091423</v>
      </c>
      <c r="F306" s="412" t="e">
        <f>-VLOOKUP(A306,'[2]BASE SAP 2022'!B:E,4,FALSE)-E306</f>
        <v>#N/A</v>
      </c>
      <c r="G306" s="419">
        <f>VLOOKUP(A306,[3]EERR!C:E,3,FALSE)-E306</f>
        <v>0</v>
      </c>
    </row>
    <row r="307" spans="1:7" x14ac:dyDescent="0.2">
      <c r="A307" s="414" t="s">
        <v>1214</v>
      </c>
      <c r="B307" s="414" t="s">
        <v>1215</v>
      </c>
      <c r="C307" s="422">
        <v>-66552</v>
      </c>
      <c r="E307" s="412">
        <f t="shared" si="4"/>
        <v>-66552</v>
      </c>
      <c r="F307" s="412" t="e">
        <f>-VLOOKUP(A307,'[2]BASE SAP 2022'!B:E,4,FALSE)-E307</f>
        <v>#N/A</v>
      </c>
      <c r="G307" s="419">
        <f>VLOOKUP(A307,[3]EERR!C:E,3,FALSE)-E307</f>
        <v>0</v>
      </c>
    </row>
    <row r="308" spans="1:7" x14ac:dyDescent="0.2">
      <c r="A308" s="414" t="s">
        <v>1216</v>
      </c>
      <c r="B308" s="414" t="s">
        <v>1217</v>
      </c>
      <c r="C308" s="422">
        <v>-41636663</v>
      </c>
      <c r="E308" s="412">
        <f t="shared" si="4"/>
        <v>-41636663</v>
      </c>
      <c r="F308" s="412" t="e">
        <f>-VLOOKUP(A308,'[2]BASE SAP 2022'!B:E,4,FALSE)-E308</f>
        <v>#N/A</v>
      </c>
      <c r="G308" s="419">
        <f>VLOOKUP(A308,[3]EERR!C:E,3,FALSE)-E308</f>
        <v>0</v>
      </c>
    </row>
    <row r="309" spans="1:7" x14ac:dyDescent="0.2">
      <c r="A309" s="414" t="s">
        <v>1218</v>
      </c>
      <c r="B309" s="414" t="s">
        <v>1219</v>
      </c>
      <c r="C309" s="422">
        <v>-546431686</v>
      </c>
      <c r="E309" s="412">
        <f t="shared" si="4"/>
        <v>-546431686</v>
      </c>
      <c r="F309" s="412" t="e">
        <f>-VLOOKUP(A309,'[2]BASE SAP 2022'!B:E,4,FALSE)-E309</f>
        <v>#N/A</v>
      </c>
      <c r="G309" s="419">
        <f>VLOOKUP(A309,[3]EERR!C:E,3,FALSE)-E309</f>
        <v>0</v>
      </c>
    </row>
    <row r="310" spans="1:7" x14ac:dyDescent="0.2">
      <c r="A310" s="414" t="s">
        <v>1220</v>
      </c>
      <c r="B310" s="414" t="s">
        <v>1221</v>
      </c>
      <c r="C310" s="422">
        <v>-26603639</v>
      </c>
      <c r="E310" s="412">
        <f t="shared" si="4"/>
        <v>-26603639</v>
      </c>
      <c r="F310" s="412" t="e">
        <f>-VLOOKUP(A310,'[2]BASE SAP 2022'!B:E,4,FALSE)-E310</f>
        <v>#N/A</v>
      </c>
      <c r="G310" s="419">
        <f>VLOOKUP(A310,[3]EERR!C:E,3,FALSE)-E310</f>
        <v>0</v>
      </c>
    </row>
    <row r="311" spans="1:7" x14ac:dyDescent="0.2">
      <c r="A311" s="414" t="s">
        <v>1222</v>
      </c>
      <c r="B311" s="414" t="s">
        <v>1223</v>
      </c>
      <c r="C311" s="422">
        <v>-228104557</v>
      </c>
      <c r="E311" s="412">
        <f t="shared" si="4"/>
        <v>-228104557</v>
      </c>
      <c r="F311" s="412" t="e">
        <f>-VLOOKUP(A311,'[2]BASE SAP 2022'!B:E,4,FALSE)-E311</f>
        <v>#N/A</v>
      </c>
      <c r="G311" s="419">
        <f>VLOOKUP(A311,[3]EERR!C:E,3,FALSE)-E311</f>
        <v>0</v>
      </c>
    </row>
    <row r="312" spans="1:7" x14ac:dyDescent="0.2">
      <c r="A312" s="414" t="s">
        <v>1224</v>
      </c>
      <c r="B312" s="414" t="s">
        <v>1225</v>
      </c>
      <c r="C312" s="422">
        <v>-509125843</v>
      </c>
      <c r="E312" s="412">
        <f t="shared" si="4"/>
        <v>-509125843</v>
      </c>
      <c r="F312" s="412" t="e">
        <f>-VLOOKUP(A312,'[2]BASE SAP 2022'!B:E,4,FALSE)-E312</f>
        <v>#N/A</v>
      </c>
      <c r="G312" s="419">
        <f>VLOOKUP(A312,[3]EERR!C:E,3,FALSE)-E312</f>
        <v>0</v>
      </c>
    </row>
    <row r="313" spans="1:7" x14ac:dyDescent="0.2">
      <c r="A313" s="414" t="s">
        <v>1226</v>
      </c>
      <c r="B313" s="414" t="s">
        <v>1227</v>
      </c>
      <c r="C313" s="422">
        <v>-122054403</v>
      </c>
      <c r="E313" s="412">
        <f t="shared" si="4"/>
        <v>-122054403</v>
      </c>
      <c r="F313" s="412" t="e">
        <f>-VLOOKUP(A313,'[2]BASE SAP 2022'!B:E,4,FALSE)-E313</f>
        <v>#N/A</v>
      </c>
      <c r="G313" s="419">
        <f>VLOOKUP(A313,[3]EERR!C:E,3,FALSE)-E313</f>
        <v>0</v>
      </c>
    </row>
    <row r="314" spans="1:7" x14ac:dyDescent="0.2">
      <c r="A314" s="414" t="s">
        <v>1228</v>
      </c>
      <c r="B314" s="414" t="s">
        <v>1229</v>
      </c>
      <c r="C314" s="422">
        <v>-20481477</v>
      </c>
      <c r="E314" s="412">
        <f t="shared" si="4"/>
        <v>-20481477</v>
      </c>
      <c r="F314" s="412" t="e">
        <f>-VLOOKUP(A314,'[2]BASE SAP 2022'!B:E,4,FALSE)-E314</f>
        <v>#N/A</v>
      </c>
      <c r="G314" s="419">
        <f>VLOOKUP(A314,[3]EERR!C:E,3,FALSE)-E314</f>
        <v>0</v>
      </c>
    </row>
    <row r="315" spans="1:7" x14ac:dyDescent="0.2">
      <c r="A315" s="414" t="s">
        <v>1230</v>
      </c>
      <c r="B315" s="414" t="s">
        <v>1231</v>
      </c>
      <c r="C315" s="422">
        <v>-8998776</v>
      </c>
      <c r="E315" s="412">
        <f t="shared" si="4"/>
        <v>-8998776</v>
      </c>
      <c r="F315" s="412" t="e">
        <f>-VLOOKUP(A315,'[2]BASE SAP 2022'!B:E,4,FALSE)-E315</f>
        <v>#N/A</v>
      </c>
      <c r="G315" s="419">
        <f>VLOOKUP(A315,[3]EERR!C:E,3,FALSE)-E315</f>
        <v>0</v>
      </c>
    </row>
    <row r="316" spans="1:7" x14ac:dyDescent="0.2">
      <c r="A316" s="414" t="s">
        <v>1232</v>
      </c>
      <c r="B316" s="414" t="s">
        <v>1233</v>
      </c>
      <c r="C316" s="422">
        <v>-93808847</v>
      </c>
      <c r="E316" s="412">
        <f t="shared" si="4"/>
        <v>-93808847</v>
      </c>
      <c r="F316" s="412" t="e">
        <f>-VLOOKUP(A316,'[2]BASE SAP 2022'!B:E,4,FALSE)-E316</f>
        <v>#N/A</v>
      </c>
      <c r="G316" s="419">
        <f>VLOOKUP(A316,[3]EERR!C:E,3,FALSE)-E316</f>
        <v>0</v>
      </c>
    </row>
    <row r="317" spans="1:7" x14ac:dyDescent="0.2">
      <c r="A317" s="414" t="s">
        <v>1234</v>
      </c>
      <c r="B317" s="414" t="s">
        <v>1235</v>
      </c>
      <c r="C317" s="422">
        <v>-14674224</v>
      </c>
      <c r="E317" s="412">
        <f t="shared" si="4"/>
        <v>-14674224</v>
      </c>
      <c r="F317" s="412" t="e">
        <f>-VLOOKUP(A317,'[2]BASE SAP 2022'!B:E,4,FALSE)-E317</f>
        <v>#N/A</v>
      </c>
      <c r="G317" s="419">
        <f>VLOOKUP(A317,[3]EERR!C:E,3,FALSE)-E317</f>
        <v>0</v>
      </c>
    </row>
    <row r="318" spans="1:7" x14ac:dyDescent="0.2">
      <c r="A318" s="414" t="s">
        <v>1236</v>
      </c>
      <c r="B318" s="414" t="s">
        <v>1237</v>
      </c>
      <c r="C318" s="422">
        <v>-29225410</v>
      </c>
      <c r="E318" s="412">
        <f t="shared" si="4"/>
        <v>-29225410</v>
      </c>
      <c r="F318" s="412" t="e">
        <f>-VLOOKUP(A318,'[2]BASE SAP 2022'!B:E,4,FALSE)-E318</f>
        <v>#N/A</v>
      </c>
      <c r="G318" s="419">
        <f>VLOOKUP(A318,[3]EERR!C:E,3,FALSE)-E318</f>
        <v>0</v>
      </c>
    </row>
    <row r="319" spans="1:7" x14ac:dyDescent="0.2">
      <c r="A319" s="414" t="s">
        <v>1238</v>
      </c>
      <c r="B319" s="414" t="s">
        <v>1239</v>
      </c>
      <c r="C319" s="422">
        <v>-918393964</v>
      </c>
      <c r="E319" s="412">
        <f t="shared" si="4"/>
        <v>-918393964</v>
      </c>
      <c r="F319" s="412" t="e">
        <f>-VLOOKUP(A319,'[2]BASE SAP 2022'!B:E,4,FALSE)-E319</f>
        <v>#N/A</v>
      </c>
      <c r="G319" s="419">
        <f>VLOOKUP(A319,[3]EERR!C:E,3,FALSE)-E319</f>
        <v>0</v>
      </c>
    </row>
    <row r="320" spans="1:7" x14ac:dyDescent="0.2">
      <c r="A320" s="414" t="s">
        <v>1240</v>
      </c>
      <c r="B320" s="414" t="s">
        <v>1241</v>
      </c>
      <c r="C320" s="422">
        <v>-108615241</v>
      </c>
      <c r="E320" s="412">
        <f t="shared" si="4"/>
        <v>-108615241</v>
      </c>
      <c r="F320" s="412" t="e">
        <f>-VLOOKUP(A320,'[2]BASE SAP 2022'!B:E,4,FALSE)-E320</f>
        <v>#N/A</v>
      </c>
      <c r="G320" s="419">
        <f>VLOOKUP(A320,[3]EERR!C:E,3,FALSE)-E320</f>
        <v>0</v>
      </c>
    </row>
    <row r="321" spans="1:7" x14ac:dyDescent="0.2">
      <c r="A321" s="414" t="s">
        <v>1242</v>
      </c>
      <c r="B321" s="414" t="s">
        <v>1243</v>
      </c>
      <c r="C321" s="422">
        <v>-175009890</v>
      </c>
      <c r="E321" s="412">
        <f t="shared" si="4"/>
        <v>-175009890</v>
      </c>
      <c r="F321" s="412" t="e">
        <f>-VLOOKUP(A321,'[2]BASE SAP 2022'!B:E,4,FALSE)-E321</f>
        <v>#N/A</v>
      </c>
      <c r="G321" s="419">
        <f>VLOOKUP(A321,[3]EERR!C:E,3,FALSE)-E321</f>
        <v>0</v>
      </c>
    </row>
    <row r="322" spans="1:7" x14ac:dyDescent="0.2">
      <c r="A322" s="414" t="s">
        <v>1244</v>
      </c>
      <c r="B322" s="414" t="s">
        <v>1245</v>
      </c>
      <c r="C322" s="422">
        <v>-50000</v>
      </c>
      <c r="E322" s="412">
        <f t="shared" si="4"/>
        <v>-50000</v>
      </c>
      <c r="F322" s="412" t="e">
        <f>-VLOOKUP(A322,'[2]BASE SAP 2022'!B:E,4,FALSE)-E322</f>
        <v>#N/A</v>
      </c>
      <c r="G322" s="419">
        <f>VLOOKUP(A322,[3]EERR!C:E,3,FALSE)-E322</f>
        <v>0</v>
      </c>
    </row>
    <row r="323" spans="1:7" x14ac:dyDescent="0.2">
      <c r="A323" s="414" t="s">
        <v>1246</v>
      </c>
      <c r="B323" s="414" t="s">
        <v>1247</v>
      </c>
      <c r="C323" s="422">
        <v>-242826324</v>
      </c>
      <c r="E323" s="412">
        <f t="shared" ref="E323:E374" si="5">+C323+D323</f>
        <v>-242826324</v>
      </c>
      <c r="F323" s="412" t="e">
        <f>-VLOOKUP(A323,'[2]BASE SAP 2022'!B:E,4,FALSE)-E323</f>
        <v>#N/A</v>
      </c>
      <c r="G323" s="419">
        <f>VLOOKUP(A323,[3]EERR!C:E,3,FALSE)-E323</f>
        <v>0</v>
      </c>
    </row>
    <row r="324" spans="1:7" x14ac:dyDescent="0.2">
      <c r="A324" s="414" t="s">
        <v>1248</v>
      </c>
      <c r="B324" s="414" t="s">
        <v>1249</v>
      </c>
      <c r="C324" s="422">
        <v>-3392308</v>
      </c>
      <c r="D324" s="423"/>
      <c r="E324" s="412">
        <f t="shared" si="5"/>
        <v>-3392308</v>
      </c>
      <c r="F324" s="423" t="e">
        <f>-VLOOKUP(A324,'[2]BASE SAP 2022'!B:E,4,FALSE)-E324</f>
        <v>#N/A</v>
      </c>
      <c r="G324" s="424">
        <f>VLOOKUP(A324,[3]EERR!C:E,3,FALSE)-E324</f>
        <v>0</v>
      </c>
    </row>
    <row r="325" spans="1:7" x14ac:dyDescent="0.2">
      <c r="A325" s="414" t="s">
        <v>1250</v>
      </c>
      <c r="B325" s="414" t="s">
        <v>1251</v>
      </c>
      <c r="C325" s="422">
        <v>-39495592</v>
      </c>
      <c r="E325" s="412">
        <f t="shared" si="5"/>
        <v>-39495592</v>
      </c>
      <c r="F325" s="412" t="e">
        <f>-VLOOKUP(A325,'[2]BASE SAP 2022'!B:E,4,FALSE)-E325</f>
        <v>#N/A</v>
      </c>
      <c r="G325" s="419">
        <f>VLOOKUP(A325,[3]EERR!C:E,3,FALSE)-E325</f>
        <v>0</v>
      </c>
    </row>
    <row r="326" spans="1:7" x14ac:dyDescent="0.2">
      <c r="A326" s="414" t="s">
        <v>1252</v>
      </c>
      <c r="B326" s="414" t="s">
        <v>1253</v>
      </c>
      <c r="C326" s="422">
        <v>-2171585</v>
      </c>
      <c r="E326" s="412">
        <f t="shared" si="5"/>
        <v>-2171585</v>
      </c>
      <c r="F326" s="412" t="e">
        <f>-VLOOKUP(A326,'[2]BASE SAP 2022'!B:E,4,FALSE)-E326</f>
        <v>#N/A</v>
      </c>
      <c r="G326" s="419">
        <f>VLOOKUP(A326,[3]EERR!C:E,3,FALSE)-E326</f>
        <v>0</v>
      </c>
    </row>
    <row r="327" spans="1:7" x14ac:dyDescent="0.2">
      <c r="A327" s="414" t="s">
        <v>1254</v>
      </c>
      <c r="B327" s="414" t="s">
        <v>1255</v>
      </c>
      <c r="C327" s="422">
        <v>-2585420</v>
      </c>
      <c r="E327" s="412">
        <f t="shared" si="5"/>
        <v>-2585420</v>
      </c>
      <c r="F327" s="412" t="e">
        <f>-VLOOKUP(A327,'[2]BASE SAP 2022'!B:E,4,FALSE)-E327</f>
        <v>#N/A</v>
      </c>
      <c r="G327" s="419">
        <f>VLOOKUP(A327,[3]EERR!C:E,3,FALSE)-E327</f>
        <v>0</v>
      </c>
    </row>
    <row r="328" spans="1:7" x14ac:dyDescent="0.2">
      <c r="A328" s="414" t="s">
        <v>1256</v>
      </c>
      <c r="B328" s="414" t="s">
        <v>1257</v>
      </c>
      <c r="C328" s="422">
        <v>-139490520</v>
      </c>
      <c r="E328" s="412">
        <f t="shared" si="5"/>
        <v>-139490520</v>
      </c>
      <c r="F328" s="412" t="e">
        <f>-VLOOKUP(A328,'[2]BASE SAP 2022'!B:E,4,FALSE)-E328</f>
        <v>#N/A</v>
      </c>
      <c r="G328" s="419">
        <f>VLOOKUP(A328,[3]EERR!C:E,3,FALSE)-E328</f>
        <v>0</v>
      </c>
    </row>
    <row r="329" spans="1:7" x14ac:dyDescent="0.2">
      <c r="A329" s="414" t="s">
        <v>1258</v>
      </c>
      <c r="B329" s="414" t="s">
        <v>1259</v>
      </c>
      <c r="C329" s="422">
        <v>-8428120</v>
      </c>
      <c r="D329" s="423"/>
      <c r="E329" s="412">
        <f t="shared" si="5"/>
        <v>-8428120</v>
      </c>
      <c r="F329" s="423" t="e">
        <f>-VLOOKUP(A329,'[2]BASE SAP 2022'!B:E,4,FALSE)-E329</f>
        <v>#N/A</v>
      </c>
      <c r="G329" s="424">
        <f>VLOOKUP(A329,[3]EERR!C:E,3,FALSE)-E329</f>
        <v>0</v>
      </c>
    </row>
    <row r="330" spans="1:7" x14ac:dyDescent="0.2">
      <c r="A330" s="414" t="s">
        <v>1260</v>
      </c>
      <c r="B330" s="414" t="s">
        <v>1261</v>
      </c>
      <c r="C330" s="422">
        <v>3263885637</v>
      </c>
      <c r="E330" s="412">
        <f t="shared" si="5"/>
        <v>3263885637</v>
      </c>
      <c r="F330" s="412" t="e">
        <f>-VLOOKUP(A330,'[2]BASE SAP 2022'!B:E,4,FALSE)-E330</f>
        <v>#N/A</v>
      </c>
      <c r="G330" s="419">
        <f>VLOOKUP(A330,[3]EERR!C:E,3,FALSE)-E330</f>
        <v>0</v>
      </c>
    </row>
    <row r="331" spans="1:7" x14ac:dyDescent="0.2">
      <c r="A331" s="414" t="s">
        <v>1262</v>
      </c>
      <c r="B331" s="414" t="s">
        <v>1263</v>
      </c>
      <c r="C331" s="422">
        <v>-1964983780</v>
      </c>
      <c r="E331" s="412">
        <f t="shared" si="5"/>
        <v>-1964983780</v>
      </c>
      <c r="F331" s="412" t="e">
        <f>-VLOOKUP(A331,'[2]BASE SAP 2022'!B:E,4,FALSE)-E331</f>
        <v>#N/A</v>
      </c>
      <c r="G331" s="419">
        <f>VLOOKUP(A331,[3]EERR!C:E,3,FALSE)-E331</f>
        <v>0</v>
      </c>
    </row>
    <row r="332" spans="1:7" x14ac:dyDescent="0.2">
      <c r="A332" s="414" t="s">
        <v>1264</v>
      </c>
      <c r="B332" s="414" t="s">
        <v>1265</v>
      </c>
      <c r="C332" s="422">
        <v>-175498333</v>
      </c>
      <c r="E332" s="412">
        <f t="shared" si="5"/>
        <v>-175498333</v>
      </c>
      <c r="F332" s="412" t="e">
        <f>-VLOOKUP(A332,'[2]BASE SAP 2022'!B:E,4,FALSE)-E332</f>
        <v>#N/A</v>
      </c>
      <c r="G332" s="419">
        <f>VLOOKUP(A332,[3]EERR!C:E,3,FALSE)-E332</f>
        <v>0</v>
      </c>
    </row>
    <row r="333" spans="1:7" x14ac:dyDescent="0.2">
      <c r="A333" s="414" t="s">
        <v>1266</v>
      </c>
      <c r="B333" s="414" t="s">
        <v>1267</v>
      </c>
      <c r="C333" s="422">
        <v>-5324461638</v>
      </c>
      <c r="E333" s="412">
        <f t="shared" si="5"/>
        <v>-5324461638</v>
      </c>
      <c r="F333" s="412" t="e">
        <f>-VLOOKUP(A333,'[2]BASE SAP 2022'!B:E,4,FALSE)-E333</f>
        <v>#N/A</v>
      </c>
      <c r="G333" s="419">
        <f>VLOOKUP(A333,[3]EERR!C:E,3,FALSE)-E333</f>
        <v>0</v>
      </c>
    </row>
    <row r="334" spans="1:7" x14ac:dyDescent="0.2">
      <c r="A334" s="414" t="s">
        <v>1268</v>
      </c>
      <c r="B334" s="414" t="s">
        <v>1269</v>
      </c>
      <c r="C334" s="422">
        <v>-200138729</v>
      </c>
      <c r="E334" s="412">
        <f t="shared" si="5"/>
        <v>-200138729</v>
      </c>
      <c r="F334" s="412" t="e">
        <f>-VLOOKUP(A334,'[2]BASE SAP 2022'!B:E,4,FALSE)-E334</f>
        <v>#N/A</v>
      </c>
      <c r="G334" s="419">
        <f>VLOOKUP(A334,[3]EERR!C:E,3,FALSE)-E334</f>
        <v>0</v>
      </c>
    </row>
    <row r="335" spans="1:7" x14ac:dyDescent="0.2">
      <c r="A335" s="414" t="s">
        <v>1270</v>
      </c>
      <c r="B335" s="414" t="s">
        <v>1271</v>
      </c>
      <c r="C335" s="422">
        <v>-360394817</v>
      </c>
      <c r="E335" s="412">
        <f t="shared" si="5"/>
        <v>-360394817</v>
      </c>
      <c r="F335" s="412" t="e">
        <f>-VLOOKUP(A335,'[2]BASE SAP 2022'!B:E,4,FALSE)-E335</f>
        <v>#N/A</v>
      </c>
      <c r="G335" s="419">
        <f>VLOOKUP(A335,[3]EERR!C:E,3,FALSE)-E335</f>
        <v>0</v>
      </c>
    </row>
    <row r="336" spans="1:7" x14ac:dyDescent="0.2">
      <c r="A336" s="414" t="s">
        <v>1272</v>
      </c>
      <c r="B336" s="414" t="s">
        <v>1273</v>
      </c>
      <c r="C336" s="422">
        <v>-86808279</v>
      </c>
      <c r="E336" s="412">
        <f t="shared" si="5"/>
        <v>-86808279</v>
      </c>
      <c r="F336" s="412" t="e">
        <f>-VLOOKUP(A336,'[2]BASE SAP 2022'!B:E,4,FALSE)-E336</f>
        <v>#N/A</v>
      </c>
      <c r="G336" s="419">
        <f>VLOOKUP(A336,[3]EERR!C:E,3,FALSE)-E336</f>
        <v>0</v>
      </c>
    </row>
    <row r="337" spans="1:7" x14ac:dyDescent="0.2">
      <c r="A337" s="414" t="s">
        <v>1274</v>
      </c>
      <c r="B337" s="414" t="s">
        <v>1275</v>
      </c>
      <c r="C337" s="422">
        <v>-37164021</v>
      </c>
      <c r="E337" s="412">
        <f t="shared" si="5"/>
        <v>-37164021</v>
      </c>
      <c r="F337" s="412" t="e">
        <f>-VLOOKUP(A337,'[2]BASE SAP 2022'!B:E,4,FALSE)-E337</f>
        <v>#N/A</v>
      </c>
      <c r="G337" s="419">
        <f>VLOOKUP(A337,[3]EERR!C:E,3,FALSE)-E337</f>
        <v>0</v>
      </c>
    </row>
    <row r="338" spans="1:7" x14ac:dyDescent="0.2">
      <c r="A338" s="414" t="s">
        <v>1276</v>
      </c>
      <c r="B338" s="414" t="s">
        <v>1277</v>
      </c>
      <c r="C338" s="422">
        <v>-25070424</v>
      </c>
      <c r="E338" s="412">
        <f t="shared" si="5"/>
        <v>-25070424</v>
      </c>
      <c r="F338" s="412" t="e">
        <f>-VLOOKUP(A338,'[2]BASE SAP 2022'!B:E,4,FALSE)-E338</f>
        <v>#N/A</v>
      </c>
      <c r="G338" s="419">
        <f>VLOOKUP(A338,[3]EERR!C:E,3,FALSE)-E338</f>
        <v>0</v>
      </c>
    </row>
    <row r="339" spans="1:7" x14ac:dyDescent="0.2">
      <c r="A339" s="414" t="s">
        <v>1278</v>
      </c>
      <c r="B339" s="414" t="s">
        <v>1279</v>
      </c>
      <c r="C339" s="422">
        <v>138370109</v>
      </c>
      <c r="E339" s="412">
        <f t="shared" si="5"/>
        <v>138370109</v>
      </c>
      <c r="F339" s="412" t="e">
        <f>-VLOOKUP(A339,'[2]BASE SAP 2022'!B:E,4,FALSE)-E339</f>
        <v>#N/A</v>
      </c>
      <c r="G339" s="419">
        <f>VLOOKUP(A339,[3]EERR!C:E,3,FALSE)-E339</f>
        <v>0</v>
      </c>
    </row>
    <row r="340" spans="1:7" x14ac:dyDescent="0.2">
      <c r="A340" s="414" t="s">
        <v>1280</v>
      </c>
      <c r="B340" s="414" t="s">
        <v>1281</v>
      </c>
      <c r="C340" s="422">
        <v>5140398</v>
      </c>
      <c r="E340" s="412">
        <f t="shared" si="5"/>
        <v>5140398</v>
      </c>
      <c r="F340" s="412" t="e">
        <f>-VLOOKUP(A340,'[2]BASE SAP 2022'!B:E,4,FALSE)-E340</f>
        <v>#N/A</v>
      </c>
      <c r="G340" s="419">
        <f>VLOOKUP(A340,[3]EERR!C:E,3,FALSE)-E340</f>
        <v>0</v>
      </c>
    </row>
    <row r="341" spans="1:7" x14ac:dyDescent="0.2">
      <c r="A341" s="414" t="s">
        <v>1282</v>
      </c>
      <c r="B341" s="414" t="s">
        <v>1283</v>
      </c>
      <c r="C341" s="422">
        <v>-330829</v>
      </c>
      <c r="E341" s="412">
        <f t="shared" si="5"/>
        <v>-330829</v>
      </c>
      <c r="F341" s="412" t="e">
        <f>-VLOOKUP(A341,'[2]BASE SAP 2022'!B:E,4,FALSE)-E341</f>
        <v>#N/A</v>
      </c>
      <c r="G341" s="419">
        <f>VLOOKUP(A341,[3]EERR!C:E,3,FALSE)-E341</f>
        <v>0</v>
      </c>
    </row>
    <row r="342" spans="1:7" x14ac:dyDescent="0.2">
      <c r="A342" s="414" t="s">
        <v>1284</v>
      </c>
      <c r="B342" s="414" t="s">
        <v>1285</v>
      </c>
      <c r="C342" s="422">
        <v>5970935900</v>
      </c>
      <c r="E342" s="412">
        <f t="shared" si="5"/>
        <v>5970935900</v>
      </c>
      <c r="F342" s="412" t="e">
        <f>-VLOOKUP(A342,'[2]BASE SAP 2022'!B:E,4,FALSE)-E342</f>
        <v>#N/A</v>
      </c>
      <c r="G342" s="419">
        <f>VLOOKUP(A342,[3]EERR!C:E,3,FALSE)-E342</f>
        <v>0</v>
      </c>
    </row>
    <row r="343" spans="1:7" x14ac:dyDescent="0.2">
      <c r="A343" s="414" t="s">
        <v>1286</v>
      </c>
      <c r="B343" s="414" t="s">
        <v>1287</v>
      </c>
      <c r="C343" s="422">
        <v>1698057033</v>
      </c>
      <c r="E343" s="412">
        <f t="shared" si="5"/>
        <v>1698057033</v>
      </c>
      <c r="F343" s="412" t="e">
        <f>-VLOOKUP(A343,'[2]BASE SAP 2022'!B:E,4,FALSE)-E343</f>
        <v>#N/A</v>
      </c>
      <c r="G343" s="419">
        <f>VLOOKUP(A343,[3]EERR!C:E,3,FALSE)-E343</f>
        <v>0</v>
      </c>
    </row>
    <row r="344" spans="1:7" x14ac:dyDescent="0.2">
      <c r="A344" s="414" t="s">
        <v>1288</v>
      </c>
      <c r="B344" s="414" t="s">
        <v>1289</v>
      </c>
      <c r="C344" s="422">
        <v>317584545</v>
      </c>
      <c r="E344" s="412">
        <f t="shared" si="5"/>
        <v>317584545</v>
      </c>
      <c r="F344" s="412" t="e">
        <f>-VLOOKUP(A344,'[2]BASE SAP 2022'!B:E,4,FALSE)-E344</f>
        <v>#N/A</v>
      </c>
      <c r="G344" s="419">
        <f>VLOOKUP(A344,[3]EERR!C:E,3,FALSE)-E344</f>
        <v>0</v>
      </c>
    </row>
    <row r="345" spans="1:7" x14ac:dyDescent="0.2">
      <c r="A345" s="414" t="s">
        <v>1290</v>
      </c>
      <c r="B345" s="414" t="s">
        <v>1291</v>
      </c>
      <c r="C345" s="422">
        <v>-35059754</v>
      </c>
      <c r="E345" s="412">
        <f t="shared" si="5"/>
        <v>-35059754</v>
      </c>
      <c r="F345" s="412" t="e">
        <f>-VLOOKUP(A345,'[2]BASE SAP 2022'!B:E,4,FALSE)-E345</f>
        <v>#N/A</v>
      </c>
      <c r="G345" s="419">
        <f>VLOOKUP(A345,[3]EERR!C:E,3,FALSE)-E345</f>
        <v>0</v>
      </c>
    </row>
    <row r="346" spans="1:7" x14ac:dyDescent="0.2">
      <c r="A346" s="414" t="s">
        <v>1292</v>
      </c>
      <c r="B346" s="414" t="s">
        <v>1293</v>
      </c>
      <c r="C346" s="422">
        <v>1898674253</v>
      </c>
      <c r="E346" s="412">
        <f t="shared" si="5"/>
        <v>1898674253</v>
      </c>
      <c r="F346" s="412" t="e">
        <f>-VLOOKUP(A346,'[2]BASE SAP 2022'!B:E,4,FALSE)-E346</f>
        <v>#N/A</v>
      </c>
      <c r="G346" s="419">
        <f>VLOOKUP(A346,[3]EERR!C:E,3,FALSE)-E346</f>
        <v>0</v>
      </c>
    </row>
    <row r="347" spans="1:7" x14ac:dyDescent="0.2">
      <c r="A347" s="414" t="s">
        <v>1294</v>
      </c>
      <c r="B347" s="414" t="s">
        <v>1295</v>
      </c>
      <c r="C347" s="422">
        <v>3279567807</v>
      </c>
      <c r="E347" s="412">
        <f t="shared" si="5"/>
        <v>3279567807</v>
      </c>
      <c r="F347" s="412" t="e">
        <f>-VLOOKUP(A347,'[2]BASE SAP 2022'!B:E,4,FALSE)-E347</f>
        <v>#N/A</v>
      </c>
      <c r="G347" s="419">
        <f>VLOOKUP(A347,[3]EERR!C:E,3,FALSE)-E347</f>
        <v>0</v>
      </c>
    </row>
    <row r="348" spans="1:7" x14ac:dyDescent="0.2">
      <c r="A348" s="414" t="s">
        <v>1296</v>
      </c>
      <c r="B348" s="414" t="s">
        <v>1297</v>
      </c>
      <c r="C348" s="422">
        <v>10308250</v>
      </c>
      <c r="E348" s="412">
        <f t="shared" si="5"/>
        <v>10308250</v>
      </c>
      <c r="F348" s="412" t="e">
        <f>-VLOOKUP(A348,'[2]BASE SAP 2022'!B:E,4,FALSE)-E348</f>
        <v>#N/A</v>
      </c>
      <c r="G348" s="419">
        <f>VLOOKUP(A348,[3]EERR!C:E,3,FALSE)-E348</f>
        <v>0</v>
      </c>
    </row>
    <row r="349" spans="1:7" x14ac:dyDescent="0.2">
      <c r="A349" s="414" t="s">
        <v>1298</v>
      </c>
      <c r="B349" s="414" t="s">
        <v>1299</v>
      </c>
      <c r="C349" s="422">
        <v>379210296</v>
      </c>
      <c r="E349" s="412">
        <f t="shared" si="5"/>
        <v>379210296</v>
      </c>
      <c r="F349" s="412" t="e">
        <f>-VLOOKUP(A349,'[2]BASE SAP 2022'!B:E,4,FALSE)-E349</f>
        <v>#N/A</v>
      </c>
      <c r="G349" s="419">
        <f>VLOOKUP(A349,[3]EERR!C:E,3,FALSE)-E349</f>
        <v>0</v>
      </c>
    </row>
    <row r="350" spans="1:7" x14ac:dyDescent="0.2">
      <c r="A350" s="414" t="s">
        <v>1300</v>
      </c>
      <c r="B350" s="414" t="s">
        <v>1301</v>
      </c>
      <c r="C350" s="422">
        <v>38226801</v>
      </c>
      <c r="E350" s="412">
        <f t="shared" si="5"/>
        <v>38226801</v>
      </c>
      <c r="F350" s="412" t="e">
        <f>-VLOOKUP(A350,'[2]BASE SAP 2022'!B:E,4,FALSE)-E350</f>
        <v>#N/A</v>
      </c>
      <c r="G350" s="419">
        <f>VLOOKUP(A350,[3]EERR!C:E,3,FALSE)-E350</f>
        <v>0</v>
      </c>
    </row>
    <row r="351" spans="1:7" x14ac:dyDescent="0.2">
      <c r="A351" s="414" t="s">
        <v>1302</v>
      </c>
      <c r="B351" s="414" t="s">
        <v>1303</v>
      </c>
      <c r="C351" s="422">
        <v>26800453</v>
      </c>
      <c r="E351" s="412">
        <f t="shared" si="5"/>
        <v>26800453</v>
      </c>
      <c r="F351" s="412" t="e">
        <f>-VLOOKUP(A351,'[2]BASE SAP 2022'!B:E,4,FALSE)-E351</f>
        <v>#N/A</v>
      </c>
      <c r="G351" s="419">
        <f>VLOOKUP(A351,[3]EERR!C:E,3,FALSE)-E351</f>
        <v>0</v>
      </c>
    </row>
    <row r="352" spans="1:7" x14ac:dyDescent="0.2">
      <c r="A352" s="414" t="s">
        <v>1304</v>
      </c>
      <c r="B352" s="414" t="s">
        <v>1305</v>
      </c>
      <c r="C352" s="422">
        <v>1007124168</v>
      </c>
      <c r="E352" s="412">
        <f t="shared" si="5"/>
        <v>1007124168</v>
      </c>
      <c r="F352" s="412" t="e">
        <f>-VLOOKUP(A352,'[2]BASE SAP 2022'!B:E,4,FALSE)-E352</f>
        <v>#N/A</v>
      </c>
      <c r="G352" s="419">
        <f>VLOOKUP(A352,[3]EERR!C:E,3,FALSE)-E352</f>
        <v>0</v>
      </c>
    </row>
    <row r="353" spans="1:7" x14ac:dyDescent="0.2">
      <c r="A353" s="414" t="s">
        <v>1306</v>
      </c>
      <c r="B353" s="414" t="s">
        <v>1307</v>
      </c>
      <c r="C353" s="422">
        <v>712198176</v>
      </c>
      <c r="D353" s="423"/>
      <c r="E353" s="412">
        <f t="shared" si="5"/>
        <v>712198176</v>
      </c>
      <c r="F353" s="423" t="e">
        <f>-VLOOKUP(A353,'[2]BASE SAP 2022'!B:E,4,FALSE)-E353</f>
        <v>#N/A</v>
      </c>
      <c r="G353" s="424">
        <f>VLOOKUP(A353,[3]EERR!C:E,3,FALSE)-E353</f>
        <v>0</v>
      </c>
    </row>
    <row r="354" spans="1:7" x14ac:dyDescent="0.2">
      <c r="A354" s="414" t="s">
        <v>1308</v>
      </c>
      <c r="B354" s="414" t="s">
        <v>1309</v>
      </c>
      <c r="C354" s="422">
        <v>614249</v>
      </c>
      <c r="D354" s="423"/>
      <c r="E354" s="412">
        <f t="shared" si="5"/>
        <v>614249</v>
      </c>
      <c r="F354" s="423" t="e">
        <f>-VLOOKUP(A354,'[2]BASE SAP 2022'!B:E,4,FALSE)-E354</f>
        <v>#N/A</v>
      </c>
      <c r="G354" s="424">
        <f>VLOOKUP(A354,[3]EERR!C:E,3,FALSE)-E354</f>
        <v>0</v>
      </c>
    </row>
    <row r="355" spans="1:7" x14ac:dyDescent="0.2">
      <c r="A355" s="414" t="s">
        <v>1310</v>
      </c>
      <c r="B355" s="414" t="s">
        <v>1311</v>
      </c>
      <c r="C355" s="422">
        <v>-135791095</v>
      </c>
      <c r="E355" s="412">
        <f t="shared" si="5"/>
        <v>-135791095</v>
      </c>
      <c r="F355" s="412" t="e">
        <f>-VLOOKUP(A355,'[2]BASE SAP 2022'!B:E,4,FALSE)-E355</f>
        <v>#N/A</v>
      </c>
      <c r="G355" s="419">
        <f>VLOOKUP(A355,[3]EERR!C:E,3,FALSE)-E355</f>
        <v>0</v>
      </c>
    </row>
    <row r="356" spans="1:7" x14ac:dyDescent="0.2">
      <c r="A356" s="414" t="s">
        <v>1312</v>
      </c>
      <c r="B356" s="414" t="s">
        <v>1313</v>
      </c>
      <c r="C356" s="422">
        <v>24570058</v>
      </c>
      <c r="E356" s="412">
        <f t="shared" si="5"/>
        <v>24570058</v>
      </c>
      <c r="F356" s="412" t="e">
        <f>-VLOOKUP(A356,'[2]BASE SAP 2022'!B:E,4,FALSE)-E356</f>
        <v>#N/A</v>
      </c>
      <c r="G356" s="419">
        <f>VLOOKUP(A356,[3]EERR!C:E,3,FALSE)-E356</f>
        <v>0</v>
      </c>
    </row>
    <row r="357" spans="1:7" x14ac:dyDescent="0.2">
      <c r="A357" s="414" t="s">
        <v>1314</v>
      </c>
      <c r="B357" s="414" t="s">
        <v>1315</v>
      </c>
      <c r="C357" s="422">
        <v>-4302425548</v>
      </c>
      <c r="E357" s="412">
        <f t="shared" si="5"/>
        <v>-4302425548</v>
      </c>
      <c r="F357" s="412" t="e">
        <f>-VLOOKUP(A357,'[2]BASE SAP 2022'!B:E,4,FALSE)-E357</f>
        <v>#N/A</v>
      </c>
      <c r="G357" s="419">
        <f>VLOOKUP(A357,[3]EERR!C:E,3,FALSE)-E357</f>
        <v>0</v>
      </c>
    </row>
    <row r="358" spans="1:7" x14ac:dyDescent="0.2">
      <c r="A358" s="414" t="s">
        <v>1316</v>
      </c>
      <c r="B358" s="414" t="s">
        <v>1317</v>
      </c>
      <c r="C358" s="422">
        <v>-8323691912</v>
      </c>
      <c r="E358" s="412">
        <f t="shared" si="5"/>
        <v>-8323691912</v>
      </c>
      <c r="F358" s="412" t="e">
        <f>-VLOOKUP(A358,'[2]BASE SAP 2022'!B:E,4,FALSE)-E358</f>
        <v>#N/A</v>
      </c>
      <c r="G358" s="419">
        <f>VLOOKUP(A358,[3]EERR!C:E,3,FALSE)-E358</f>
        <v>0</v>
      </c>
    </row>
    <row r="359" spans="1:7" x14ac:dyDescent="0.2">
      <c r="A359" s="414" t="s">
        <v>1318</v>
      </c>
      <c r="B359" s="414" t="s">
        <v>1319</v>
      </c>
      <c r="C359" s="422">
        <v>-24000</v>
      </c>
      <c r="E359" s="412">
        <f t="shared" si="5"/>
        <v>-24000</v>
      </c>
      <c r="F359" s="412" t="e">
        <f>-VLOOKUP(A359,'[2]BASE SAP 2022'!B:E,4,FALSE)-E359</f>
        <v>#N/A</v>
      </c>
      <c r="G359" s="419">
        <f>VLOOKUP(A359,[3]EERR!C:E,3,FALSE)-E359</f>
        <v>0</v>
      </c>
    </row>
    <row r="360" spans="1:7" x14ac:dyDescent="0.2">
      <c r="A360" s="414" t="s">
        <v>1320</v>
      </c>
      <c r="B360" s="414" t="s">
        <v>1321</v>
      </c>
      <c r="C360" s="422">
        <v>-591002762</v>
      </c>
      <c r="E360" s="412">
        <f t="shared" si="5"/>
        <v>-591002762</v>
      </c>
      <c r="F360" s="412" t="e">
        <f>-VLOOKUP(A360,'[2]BASE SAP 2022'!B:E,4,FALSE)-E360</f>
        <v>#N/A</v>
      </c>
      <c r="G360" s="419">
        <f>VLOOKUP(A360,[3]EERR!C:E,3,FALSE)-E360</f>
        <v>0</v>
      </c>
    </row>
    <row r="361" spans="1:7" x14ac:dyDescent="0.2">
      <c r="A361" s="414" t="s">
        <v>1322</v>
      </c>
      <c r="B361" s="414" t="s">
        <v>1323</v>
      </c>
      <c r="C361" s="422">
        <v>-485603406</v>
      </c>
      <c r="E361" s="412">
        <f t="shared" si="5"/>
        <v>-485603406</v>
      </c>
      <c r="F361" s="412" t="e">
        <f>-VLOOKUP(A361,'[2]BASE SAP 2022'!B:E,4,FALSE)-E361</f>
        <v>#N/A</v>
      </c>
      <c r="G361" s="419">
        <f>VLOOKUP(A361,[3]EERR!C:E,3,FALSE)-E361</f>
        <v>0</v>
      </c>
    </row>
    <row r="362" spans="1:7" x14ac:dyDescent="0.2">
      <c r="A362" s="414" t="s">
        <v>1324</v>
      </c>
      <c r="B362" s="414" t="s">
        <v>1325</v>
      </c>
      <c r="C362" s="422">
        <v>-184791</v>
      </c>
      <c r="E362" s="412">
        <f t="shared" si="5"/>
        <v>-184791</v>
      </c>
      <c r="F362" s="412" t="e">
        <f>-VLOOKUP(A362,'[2]BASE SAP 2022'!B:E,4,FALSE)-E362</f>
        <v>#N/A</v>
      </c>
      <c r="G362" s="419">
        <f>VLOOKUP(A362,[3]EERR!C:E,3,FALSE)-E362</f>
        <v>0</v>
      </c>
    </row>
    <row r="363" spans="1:7" x14ac:dyDescent="0.2">
      <c r="A363" s="414" t="s">
        <v>1326</v>
      </c>
      <c r="B363" s="414" t="s">
        <v>1327</v>
      </c>
      <c r="C363" s="422">
        <v>-2021886365</v>
      </c>
      <c r="E363" s="412">
        <f t="shared" si="5"/>
        <v>-2021886365</v>
      </c>
      <c r="F363" s="412" t="e">
        <f>-VLOOKUP(A363,'[2]BASE SAP 2022'!B:E,4,FALSE)-E363</f>
        <v>#N/A</v>
      </c>
      <c r="G363" s="419">
        <f>VLOOKUP(A363,[3]EERR!C:E,3,FALSE)-E363</f>
        <v>0</v>
      </c>
    </row>
    <row r="364" spans="1:7" x14ac:dyDescent="0.2">
      <c r="A364" s="414" t="s">
        <v>1328</v>
      </c>
      <c r="B364" s="414" t="s">
        <v>1329</v>
      </c>
      <c r="C364" s="422">
        <v>-327396890</v>
      </c>
      <c r="E364" s="412">
        <f t="shared" si="5"/>
        <v>-327396890</v>
      </c>
      <c r="F364" s="412" t="e">
        <f>-VLOOKUP(A364,'[2]BASE SAP 2022'!B:E,4,FALSE)-E364</f>
        <v>#N/A</v>
      </c>
      <c r="G364" s="419">
        <f>VLOOKUP(A364,[3]EERR!C:E,3,FALSE)-E364</f>
        <v>0</v>
      </c>
    </row>
    <row r="365" spans="1:7" x14ac:dyDescent="0.2">
      <c r="A365" s="414" t="s">
        <v>1330</v>
      </c>
      <c r="B365" s="414" t="s">
        <v>1331</v>
      </c>
      <c r="C365" s="422">
        <v>-1486256069</v>
      </c>
      <c r="D365" s="423"/>
      <c r="E365" s="412">
        <f t="shared" si="5"/>
        <v>-1486256069</v>
      </c>
      <c r="F365" s="423" t="e">
        <f>-VLOOKUP(A365,'[2]BASE SAP 2022'!B:E,4,FALSE)-E365</f>
        <v>#N/A</v>
      </c>
      <c r="G365" s="424">
        <f>VLOOKUP(A365,[3]EERR!C:E,3,FALSE)-E365</f>
        <v>0</v>
      </c>
    </row>
    <row r="366" spans="1:7" x14ac:dyDescent="0.2">
      <c r="A366" s="414" t="s">
        <v>1332</v>
      </c>
      <c r="B366" s="414" t="s">
        <v>1333</v>
      </c>
      <c r="C366" s="422">
        <v>-1287134731</v>
      </c>
      <c r="E366" s="412">
        <f t="shared" si="5"/>
        <v>-1287134731</v>
      </c>
      <c r="F366" s="412" t="e">
        <f>-VLOOKUP(A366,'[2]BASE SAP 2022'!B:E,4,FALSE)-E366</f>
        <v>#N/A</v>
      </c>
      <c r="G366" s="419">
        <f>VLOOKUP(A366,[3]EERR!C:E,3,FALSE)-E366</f>
        <v>0</v>
      </c>
    </row>
    <row r="367" spans="1:7" x14ac:dyDescent="0.2">
      <c r="A367" s="414" t="s">
        <v>1334</v>
      </c>
      <c r="B367" s="414" t="s">
        <v>1335</v>
      </c>
      <c r="C367" s="422">
        <v>-6271717</v>
      </c>
      <c r="E367" s="412">
        <f t="shared" si="5"/>
        <v>-6271717</v>
      </c>
      <c r="F367" s="412" t="e">
        <f>-VLOOKUP(A367,'[2]BASE SAP 2022'!B:E,4,FALSE)-E367</f>
        <v>#N/A</v>
      </c>
      <c r="G367" s="419">
        <f>VLOOKUP(A367,[3]EERR!C:E,3,FALSE)-E367</f>
        <v>0</v>
      </c>
    </row>
    <row r="368" spans="1:7" x14ac:dyDescent="0.2">
      <c r="A368" s="414" t="s">
        <v>1336</v>
      </c>
      <c r="B368" s="414" t="s">
        <v>1337</v>
      </c>
      <c r="C368" s="422">
        <v>-291046</v>
      </c>
      <c r="E368" s="412">
        <f t="shared" si="5"/>
        <v>-291046</v>
      </c>
      <c r="F368" s="412" t="e">
        <f>-VLOOKUP(A368,'[2]BASE SAP 2022'!B:E,4,FALSE)-E368</f>
        <v>#N/A</v>
      </c>
      <c r="G368" s="419">
        <f>VLOOKUP(A368,[3]EERR!C:E,3,FALSE)-E368</f>
        <v>0</v>
      </c>
    </row>
    <row r="369" spans="1:7" x14ac:dyDescent="0.2">
      <c r="A369" s="414" t="s">
        <v>1338</v>
      </c>
      <c r="B369" s="414" t="s">
        <v>1339</v>
      </c>
      <c r="C369" s="422">
        <v>315146</v>
      </c>
      <c r="E369" s="412">
        <f t="shared" si="5"/>
        <v>315146</v>
      </c>
      <c r="F369" s="412" t="e">
        <f>-VLOOKUP(A369,'[2]BASE SAP 2022'!B:E,4,FALSE)-E369</f>
        <v>#N/A</v>
      </c>
      <c r="G369" s="419">
        <f>VLOOKUP(A369,[3]EERR!C:E,3,FALSE)-E369</f>
        <v>0</v>
      </c>
    </row>
    <row r="370" spans="1:7" x14ac:dyDescent="0.2">
      <c r="A370" s="414" t="s">
        <v>1340</v>
      </c>
      <c r="B370" s="414" t="s">
        <v>1341</v>
      </c>
      <c r="C370" s="422">
        <v>-33983337</v>
      </c>
      <c r="D370" s="423"/>
      <c r="E370" s="412">
        <f t="shared" si="5"/>
        <v>-33983337</v>
      </c>
      <c r="F370" s="423" t="e">
        <f>-VLOOKUP(A370,'[2]BASE SAP 2022'!B:E,4,FALSE)-E370</f>
        <v>#N/A</v>
      </c>
      <c r="G370" s="424">
        <f>VLOOKUP(A370,[3]EERR!C:E,3,FALSE)-E370</f>
        <v>0</v>
      </c>
    </row>
    <row r="371" spans="1:7" x14ac:dyDescent="0.2">
      <c r="A371" s="414" t="s">
        <v>1342</v>
      </c>
      <c r="B371" s="414" t="s">
        <v>1343</v>
      </c>
      <c r="C371" s="422">
        <v>-24199967</v>
      </c>
      <c r="E371" s="412">
        <f t="shared" si="5"/>
        <v>-24199967</v>
      </c>
      <c r="F371" s="412" t="e">
        <f>-VLOOKUP(A371,'[2]BASE SAP 2022'!B:E,4,FALSE)-E371</f>
        <v>#N/A</v>
      </c>
      <c r="G371" s="419">
        <f>VLOOKUP(A371,[3]EERR!C:E,3,FALSE)-E371</f>
        <v>0</v>
      </c>
    </row>
    <row r="372" spans="1:7" x14ac:dyDescent="0.2">
      <c r="A372" s="414" t="s">
        <v>1344</v>
      </c>
      <c r="B372" s="414" t="s">
        <v>1345</v>
      </c>
      <c r="C372" s="422">
        <v>-550425101</v>
      </c>
      <c r="E372" s="412">
        <f t="shared" si="5"/>
        <v>-550425101</v>
      </c>
      <c r="F372" s="412" t="e">
        <f>-VLOOKUP(A372,'[2]BASE SAP 2022'!B:E,4,FALSE)-E372</f>
        <v>#N/A</v>
      </c>
      <c r="G372" s="419">
        <f>VLOOKUP(A372,[3]EERR!C:E,3,FALSE)-E372</f>
        <v>0</v>
      </c>
    </row>
    <row r="373" spans="1:7" x14ac:dyDescent="0.2">
      <c r="A373" s="414" t="s">
        <v>1346</v>
      </c>
      <c r="B373" s="414" t="s">
        <v>1347</v>
      </c>
      <c r="C373" s="422">
        <v>204983</v>
      </c>
      <c r="E373" s="412">
        <f t="shared" si="5"/>
        <v>204983</v>
      </c>
      <c r="F373" s="412" t="e">
        <f>-VLOOKUP(A373,'[2]BASE SAP 2022'!B:E,4,FALSE)-E373</f>
        <v>#N/A</v>
      </c>
      <c r="G373" s="419">
        <f>VLOOKUP(A373,[3]EERR!C:E,3,FALSE)-E373</f>
        <v>0</v>
      </c>
    </row>
    <row r="374" spans="1:7" x14ac:dyDescent="0.2">
      <c r="A374" s="414" t="s">
        <v>1348</v>
      </c>
      <c r="B374" s="414" t="s">
        <v>1349</v>
      </c>
      <c r="C374" s="422">
        <v>-846739433</v>
      </c>
      <c r="E374" s="412">
        <f t="shared" si="5"/>
        <v>-846739433</v>
      </c>
      <c r="F374" s="412" t="e">
        <f>-VLOOKUP(A374,'[2]BASE SAP 2022'!B:E,4,FALSE)-E374</f>
        <v>#N/A</v>
      </c>
      <c r="G374" s="419">
        <f>VLOOKUP(A374,[3]EERR!C:E,3,FALSE)-E374</f>
        <v>0</v>
      </c>
    </row>
    <row r="379" spans="1:7" x14ac:dyDescent="0.2">
      <c r="E379" s="412">
        <f>SUBTOTAL(9,E1:E338)</f>
        <v>869241544000.72266</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B342A1-CD20-AE4F-8C3D-41BA752E23EF}">
  <sheetPr>
    <tabColor rgb="FF002060"/>
  </sheetPr>
  <dimension ref="A1:AF15"/>
  <sheetViews>
    <sheetView showGridLines="0" zoomScale="120" zoomScaleNormal="120" workbookViewId="0">
      <selection activeCell="D16" sqref="D16"/>
    </sheetView>
  </sheetViews>
  <sheetFormatPr baseColWidth="10" defaultColWidth="11" defaultRowHeight="13.8" x14ac:dyDescent="0.25"/>
  <cols>
    <col min="1" max="1" width="35.59765625" style="182" customWidth="1"/>
    <col min="2" max="3" width="16.59765625" style="182" customWidth="1"/>
    <col min="4" max="4" width="11" style="182"/>
    <col min="5" max="5" width="12.5" style="182" bestFit="1" customWidth="1"/>
    <col min="6" max="32" width="11" style="182"/>
    <col min="33" max="16384" width="11" style="48"/>
  </cols>
  <sheetData>
    <row r="1" spans="1:5" s="182" customFormat="1" ht="14.4" x14ac:dyDescent="0.3">
      <c r="A1" s="182" t="s">
        <v>42</v>
      </c>
      <c r="D1" s="183" t="s">
        <v>62</v>
      </c>
    </row>
    <row r="4" spans="1:5" s="182" customFormat="1" x14ac:dyDescent="0.25">
      <c r="A4" s="190" t="s">
        <v>329</v>
      </c>
      <c r="B4" s="190"/>
      <c r="C4" s="190"/>
      <c r="D4" s="190"/>
    </row>
    <row r="6" spans="1:5" s="182" customFormat="1" x14ac:dyDescent="0.25">
      <c r="B6" s="619" t="s">
        <v>324</v>
      </c>
      <c r="C6" s="619"/>
    </row>
    <row r="7" spans="1:5" s="182" customFormat="1" x14ac:dyDescent="0.25">
      <c r="A7" s="188"/>
      <c r="B7" s="191">
        <v>2023</v>
      </c>
      <c r="C7" s="191">
        <v>2022</v>
      </c>
    </row>
    <row r="8" spans="1:5" s="182" customFormat="1" x14ac:dyDescent="0.25">
      <c r="A8" s="182" t="s">
        <v>330</v>
      </c>
      <c r="B8" s="192">
        <v>23482533132</v>
      </c>
      <c r="C8" s="192">
        <v>17763825535</v>
      </c>
    </row>
    <row r="9" spans="1:5" s="182" customFormat="1" x14ac:dyDescent="0.25">
      <c r="A9" s="182" t="s">
        <v>331</v>
      </c>
      <c r="B9" s="193">
        <f>+'2023'!E221</f>
        <v>3122197277.4000001</v>
      </c>
      <c r="C9" s="193">
        <v>5718723977</v>
      </c>
    </row>
    <row r="10" spans="1:5" s="182" customFormat="1" x14ac:dyDescent="0.25">
      <c r="A10" s="182" t="s">
        <v>332</v>
      </c>
      <c r="B10" s="358">
        <f>SUM($B$8:B9)</f>
        <v>26604730409.400002</v>
      </c>
      <c r="C10" s="358">
        <f>SUM(C8:C9)</f>
        <v>23482549512</v>
      </c>
      <c r="E10" s="408"/>
    </row>
    <row r="13" spans="1:5" x14ac:dyDescent="0.25">
      <c r="B13" s="402"/>
      <c r="C13" s="402"/>
    </row>
    <row r="15" spans="1:5" x14ac:dyDescent="0.25">
      <c r="B15" s="193">
        <f>+B10-'BASE BALANCE'!E228-'BASE BALANCE'!E229</f>
        <v>0</v>
      </c>
      <c r="C15" s="193"/>
    </row>
  </sheetData>
  <mergeCells count="1">
    <mergeCell ref="B6:C6"/>
  </mergeCells>
  <hyperlinks>
    <hyperlink ref="D1" location="BG!D46" display="BG" xr:uid="{A991EECE-D59A-E043-A246-F6313FE84C3E}"/>
  </hyperlink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68950E-2A36-4AF7-B23A-B6F21968A73D}">
  <dimension ref="A3:K247"/>
  <sheetViews>
    <sheetView workbookViewId="0">
      <pane xSplit="4" ySplit="3" topLeftCell="E226" activePane="bottomRight" state="frozen"/>
      <selection pane="topRight" activeCell="E1" sqref="E1"/>
      <selection pane="bottomLeft" activeCell="A4" sqref="A4"/>
      <selection pane="bottomRight" activeCell="E245" sqref="E245"/>
    </sheetView>
  </sheetViews>
  <sheetFormatPr baseColWidth="10" defaultColWidth="11" defaultRowHeight="10.199999999999999" x14ac:dyDescent="0.2"/>
  <cols>
    <col min="1" max="1" width="16.69921875" style="409" customWidth="1"/>
    <col min="2" max="2" width="25.3984375" style="409" bestFit="1" customWidth="1"/>
    <col min="3" max="3" width="12.8984375" style="409" bestFit="1" customWidth="1"/>
    <col min="4" max="4" width="33.5" style="409" bestFit="1" customWidth="1"/>
    <col min="5" max="6" width="11.8984375" style="413" bestFit="1" customWidth="1"/>
    <col min="7" max="8" width="11.5" style="426" bestFit="1" customWidth="1"/>
    <col min="9" max="9" width="10.69921875" style="409" bestFit="1" customWidth="1"/>
    <col min="10" max="10" width="12.19921875" style="409" bestFit="1" customWidth="1"/>
    <col min="11" max="16384" width="11" style="409"/>
  </cols>
  <sheetData>
    <row r="3" spans="1:10" x14ac:dyDescent="0.2">
      <c r="A3" s="409" t="s">
        <v>966</v>
      </c>
      <c r="B3" s="414" t="s">
        <v>528</v>
      </c>
      <c r="C3" s="414" t="s">
        <v>529</v>
      </c>
      <c r="D3" s="414" t="s">
        <v>530</v>
      </c>
      <c r="E3" s="426">
        <v>2023</v>
      </c>
      <c r="F3" s="426" t="s">
        <v>1350</v>
      </c>
    </row>
    <row r="4" spans="1:10" ht="13.2" x14ac:dyDescent="0.25">
      <c r="A4" s="409" t="s">
        <v>95</v>
      </c>
      <c r="B4" s="147" t="s">
        <v>344</v>
      </c>
      <c r="C4" s="414" t="s">
        <v>967</v>
      </c>
      <c r="D4" s="414" t="s">
        <v>968</v>
      </c>
      <c r="E4" s="426">
        <f>IFERROR(VLOOKUP(C4,[4]Sheet1!$A:$C,3,FALSE),0)</f>
        <v>10228474283</v>
      </c>
      <c r="F4" s="426">
        <v>13919677197</v>
      </c>
      <c r="H4" s="426">
        <f t="shared" ref="H4:H49" si="0">+F4-G4</f>
        <v>13919677197</v>
      </c>
      <c r="I4" s="417" t="e">
        <f>VLOOKUP(C4,[5]Hoja3!$A:$B,2,FALSE)</f>
        <v>#N/A</v>
      </c>
      <c r="J4" s="417" t="e">
        <f t="shared" ref="J4:J49" si="1">+E4+I4</f>
        <v>#N/A</v>
      </c>
    </row>
    <row r="5" spans="1:10" ht="13.2" x14ac:dyDescent="0.25">
      <c r="A5" s="409" t="s">
        <v>95</v>
      </c>
      <c r="B5" s="147" t="s">
        <v>344</v>
      </c>
      <c r="C5" s="414" t="s">
        <v>1351</v>
      </c>
      <c r="D5" s="414" t="s">
        <v>1352</v>
      </c>
      <c r="E5" s="426">
        <f>IFERROR(VLOOKUP(C5,[4]Sheet1!$A:$C,3,FALSE),0)</f>
        <v>0</v>
      </c>
      <c r="F5" s="426">
        <v>0</v>
      </c>
      <c r="H5" s="426">
        <f t="shared" si="0"/>
        <v>0</v>
      </c>
      <c r="I5" s="417" t="e">
        <f>VLOOKUP(C5,[5]Hoja3!$A:$B,2,FALSE)</f>
        <v>#N/A</v>
      </c>
      <c r="J5" s="417" t="e">
        <f t="shared" si="1"/>
        <v>#N/A</v>
      </c>
    </row>
    <row r="6" spans="1:10" ht="13.2" x14ac:dyDescent="0.25">
      <c r="A6" s="409" t="s">
        <v>95</v>
      </c>
      <c r="B6" s="147" t="s">
        <v>344</v>
      </c>
      <c r="C6" s="414" t="s">
        <v>1353</v>
      </c>
      <c r="D6" s="414" t="s">
        <v>1354</v>
      </c>
      <c r="E6" s="426">
        <f>IFERROR(VLOOKUP(C6,[4]Sheet1!$A:$C,3,FALSE),0)</f>
        <v>0</v>
      </c>
      <c r="F6" s="426">
        <v>0</v>
      </c>
      <c r="H6" s="426">
        <f t="shared" si="0"/>
        <v>0</v>
      </c>
      <c r="I6" s="417" t="e">
        <f>VLOOKUP(C6,[5]Hoja3!$A:$B,2,FALSE)</f>
        <v>#N/A</v>
      </c>
      <c r="J6" s="417" t="e">
        <f t="shared" si="1"/>
        <v>#N/A</v>
      </c>
    </row>
    <row r="7" spans="1:10" ht="13.2" x14ac:dyDescent="0.25">
      <c r="A7" s="409" t="s">
        <v>95</v>
      </c>
      <c r="B7" s="147" t="s">
        <v>344</v>
      </c>
      <c r="C7" s="414" t="s">
        <v>969</v>
      </c>
      <c r="D7" s="414" t="s">
        <v>970</v>
      </c>
      <c r="E7" s="426">
        <f>IFERROR(VLOOKUP(C7,[4]Sheet1!$A:$C,3,FALSE),0)</f>
        <v>-279140221</v>
      </c>
      <c r="F7" s="426">
        <v>-276519594</v>
      </c>
      <c r="H7" s="426">
        <f t="shared" si="0"/>
        <v>-276519594</v>
      </c>
      <c r="I7" s="417" t="e">
        <f>VLOOKUP(C7,[5]Hoja3!$A:$B,2,FALSE)</f>
        <v>#N/A</v>
      </c>
      <c r="J7" s="417" t="e">
        <f t="shared" si="1"/>
        <v>#N/A</v>
      </c>
    </row>
    <row r="8" spans="1:10" ht="13.2" x14ac:dyDescent="0.25">
      <c r="A8" s="409" t="s">
        <v>95</v>
      </c>
      <c r="B8" s="147" t="s">
        <v>346</v>
      </c>
      <c r="C8" s="414" t="s">
        <v>971</v>
      </c>
      <c r="D8" s="414" t="s">
        <v>972</v>
      </c>
      <c r="E8" s="426">
        <f>IFERROR(VLOOKUP(C8,[4]Sheet1!$A:$C,3,FALSE),0)</f>
        <v>16019790777</v>
      </c>
      <c r="F8" s="426">
        <v>22185401796</v>
      </c>
      <c r="H8" s="426">
        <f t="shared" si="0"/>
        <v>22185401796</v>
      </c>
      <c r="I8" s="417" t="e">
        <f>VLOOKUP(C8,[5]Hoja3!$A:$B,2,FALSE)</f>
        <v>#N/A</v>
      </c>
      <c r="J8" s="417" t="e">
        <f t="shared" si="1"/>
        <v>#N/A</v>
      </c>
    </row>
    <row r="9" spans="1:10" ht="13.2" x14ac:dyDescent="0.25">
      <c r="A9" s="409" t="s">
        <v>95</v>
      </c>
      <c r="B9" s="147" t="s">
        <v>346</v>
      </c>
      <c r="C9" s="414" t="s">
        <v>1355</v>
      </c>
      <c r="D9" s="414" t="s">
        <v>1356</v>
      </c>
      <c r="E9" s="426">
        <f>IFERROR(VLOOKUP(C9,[4]Sheet1!$A:$C,3,FALSE),0)</f>
        <v>0</v>
      </c>
      <c r="F9" s="426">
        <v>0</v>
      </c>
      <c r="H9" s="426">
        <f t="shared" si="0"/>
        <v>0</v>
      </c>
      <c r="I9" s="417" t="e">
        <f>VLOOKUP(C9,[5]Hoja3!$A:$B,2,FALSE)</f>
        <v>#N/A</v>
      </c>
      <c r="J9" s="417" t="e">
        <f t="shared" si="1"/>
        <v>#N/A</v>
      </c>
    </row>
    <row r="10" spans="1:10" ht="13.2" x14ac:dyDescent="0.25">
      <c r="A10" s="409" t="s">
        <v>95</v>
      </c>
      <c r="B10" s="147" t="s">
        <v>346</v>
      </c>
      <c r="C10" s="414" t="s">
        <v>973</v>
      </c>
      <c r="D10" s="414" t="s">
        <v>974</v>
      </c>
      <c r="E10" s="426">
        <f>IFERROR(VLOOKUP(C10,[4]Sheet1!$A:$C,3,FALSE),0)</f>
        <v>-376879196</v>
      </c>
      <c r="F10" s="426">
        <v>-1304825304</v>
      </c>
      <c r="H10" s="426">
        <f t="shared" si="0"/>
        <v>-1304825304</v>
      </c>
      <c r="I10" s="417" t="e">
        <f>VLOOKUP(C10,[5]Hoja3!$A:$B,2,FALSE)</f>
        <v>#N/A</v>
      </c>
      <c r="J10" s="417" t="e">
        <f t="shared" si="1"/>
        <v>#N/A</v>
      </c>
    </row>
    <row r="11" spans="1:10" ht="13.2" x14ac:dyDescent="0.25">
      <c r="A11" s="409" t="s">
        <v>95</v>
      </c>
      <c r="B11" s="147" t="s">
        <v>348</v>
      </c>
      <c r="C11" s="414" t="s">
        <v>975</v>
      </c>
      <c r="D11" s="414" t="s">
        <v>976</v>
      </c>
      <c r="E11" s="426">
        <f>IFERROR(VLOOKUP(C11,[4]Sheet1!$A:$C,3,FALSE),0)</f>
        <v>7609465444</v>
      </c>
      <c r="F11" s="426">
        <v>10020145869</v>
      </c>
      <c r="H11" s="426">
        <f t="shared" si="0"/>
        <v>10020145869</v>
      </c>
      <c r="I11" s="417" t="e">
        <f>VLOOKUP(C11,[5]Hoja3!$A:$B,2,FALSE)</f>
        <v>#N/A</v>
      </c>
      <c r="J11" s="417" t="e">
        <f t="shared" si="1"/>
        <v>#N/A</v>
      </c>
    </row>
    <row r="12" spans="1:10" ht="13.2" x14ac:dyDescent="0.25">
      <c r="A12" s="409" t="s">
        <v>95</v>
      </c>
      <c r="B12" s="147" t="s">
        <v>348</v>
      </c>
      <c r="C12" s="414" t="s">
        <v>977</v>
      </c>
      <c r="D12" s="414" t="s">
        <v>978</v>
      </c>
      <c r="E12" s="426">
        <f>IFERROR(VLOOKUP(C12,[4]Sheet1!$A:$C,3,FALSE),0)</f>
        <v>-808818306</v>
      </c>
      <c r="F12" s="426">
        <v>-723375496</v>
      </c>
      <c r="H12" s="426">
        <f t="shared" si="0"/>
        <v>-723375496</v>
      </c>
      <c r="I12" s="417" t="e">
        <f>VLOOKUP(C12,[5]Hoja3!$A:$B,2,FALSE)</f>
        <v>#N/A</v>
      </c>
      <c r="J12" s="417" t="e">
        <f t="shared" si="1"/>
        <v>#N/A</v>
      </c>
    </row>
    <row r="13" spans="1:10" ht="13.2" x14ac:dyDescent="0.25">
      <c r="A13" s="409" t="s">
        <v>95</v>
      </c>
      <c r="B13" s="147" t="s">
        <v>348</v>
      </c>
      <c r="C13" s="414" t="s">
        <v>1357</v>
      </c>
      <c r="D13" s="414" t="s">
        <v>1358</v>
      </c>
      <c r="E13" s="426">
        <f>IFERROR(VLOOKUP(C13,[4]Sheet1!$A:$C,3,FALSE),0)</f>
        <v>0</v>
      </c>
      <c r="F13" s="426">
        <v>0</v>
      </c>
      <c r="H13" s="426">
        <f t="shared" si="0"/>
        <v>0</v>
      </c>
      <c r="I13" s="417" t="e">
        <f>VLOOKUP(C13,[5]Hoja3!$A:$B,2,FALSE)</f>
        <v>#N/A</v>
      </c>
      <c r="J13" s="417" t="e">
        <f t="shared" si="1"/>
        <v>#N/A</v>
      </c>
    </row>
    <row r="14" spans="1:10" ht="13.2" x14ac:dyDescent="0.25">
      <c r="A14" s="409" t="s">
        <v>95</v>
      </c>
      <c r="B14" s="147" t="s">
        <v>347</v>
      </c>
      <c r="C14" s="414" t="s">
        <v>979</v>
      </c>
      <c r="D14" s="414" t="s">
        <v>980</v>
      </c>
      <c r="E14" s="426">
        <f>IFERROR(VLOOKUP(C14,[4]Sheet1!$A:$C,3,FALSE),0)</f>
        <v>18589258454</v>
      </c>
      <c r="F14" s="426">
        <v>25204510276</v>
      </c>
      <c r="H14" s="426">
        <f t="shared" si="0"/>
        <v>25204510276</v>
      </c>
      <c r="I14" s="417" t="e">
        <f>VLOOKUP(C14,[5]Hoja3!$A:$B,2,FALSE)</f>
        <v>#N/A</v>
      </c>
      <c r="J14" s="417" t="e">
        <f t="shared" si="1"/>
        <v>#N/A</v>
      </c>
    </row>
    <row r="15" spans="1:10" ht="13.2" x14ac:dyDescent="0.25">
      <c r="A15" s="409" t="s">
        <v>95</v>
      </c>
      <c r="B15" s="147" t="s">
        <v>347</v>
      </c>
      <c r="C15" s="414" t="s">
        <v>981</v>
      </c>
      <c r="D15" s="414" t="s">
        <v>982</v>
      </c>
      <c r="E15" s="426">
        <f>IFERROR(VLOOKUP(C15,[4]Sheet1!$A:$C,3,FALSE),0)</f>
        <v>-3342371415</v>
      </c>
      <c r="F15" s="426">
        <v>-3855253774</v>
      </c>
      <c r="H15" s="426">
        <f t="shared" si="0"/>
        <v>-3855253774</v>
      </c>
      <c r="I15" s="417" t="e">
        <f>VLOOKUP(C15,[5]Hoja3!$A:$B,2,FALSE)</f>
        <v>#N/A</v>
      </c>
      <c r="J15" s="417" t="e">
        <f t="shared" si="1"/>
        <v>#N/A</v>
      </c>
    </row>
    <row r="16" spans="1:10" ht="13.2" x14ac:dyDescent="0.25">
      <c r="A16" s="409" t="s">
        <v>95</v>
      </c>
      <c r="B16" s="147" t="s">
        <v>347</v>
      </c>
      <c r="C16" s="414" t="s">
        <v>1359</v>
      </c>
      <c r="D16" s="414" t="s">
        <v>1360</v>
      </c>
      <c r="E16" s="426">
        <f>IFERROR(VLOOKUP(C16,[4]Sheet1!$A:$C,3,FALSE),0)</f>
        <v>0</v>
      </c>
      <c r="F16" s="426">
        <v>0</v>
      </c>
      <c r="H16" s="426">
        <f t="shared" si="0"/>
        <v>0</v>
      </c>
      <c r="I16" s="417" t="e">
        <f>VLOOKUP(C16,[5]Hoja3!$A:$B,2,FALSE)</f>
        <v>#N/A</v>
      </c>
      <c r="J16" s="417" t="e">
        <f t="shared" si="1"/>
        <v>#N/A</v>
      </c>
    </row>
    <row r="17" spans="1:10" ht="13.2" x14ac:dyDescent="0.25">
      <c r="A17" s="409" t="s">
        <v>95</v>
      </c>
      <c r="B17" s="147" t="s">
        <v>345</v>
      </c>
      <c r="C17" s="414" t="s">
        <v>983</v>
      </c>
      <c r="D17" s="414" t="s">
        <v>984</v>
      </c>
      <c r="E17" s="426">
        <f>IFERROR(VLOOKUP(C17,[4]Sheet1!$A:$C,3,FALSE),0)</f>
        <v>29565171651</v>
      </c>
      <c r="F17" s="426">
        <v>39970512029</v>
      </c>
      <c r="H17" s="426">
        <f t="shared" si="0"/>
        <v>39970512029</v>
      </c>
      <c r="I17" s="417" t="e">
        <f>VLOOKUP(C17,[5]Hoja3!$A:$B,2,FALSE)</f>
        <v>#N/A</v>
      </c>
      <c r="J17" s="417" t="e">
        <f t="shared" si="1"/>
        <v>#N/A</v>
      </c>
    </row>
    <row r="18" spans="1:10" ht="13.2" x14ac:dyDescent="0.25">
      <c r="A18" s="409" t="s">
        <v>95</v>
      </c>
      <c r="B18" s="147" t="s">
        <v>345</v>
      </c>
      <c r="C18" s="414" t="s">
        <v>1361</v>
      </c>
      <c r="D18" s="414" t="s">
        <v>1362</v>
      </c>
      <c r="E18" s="426">
        <f>IFERROR(VLOOKUP(C18,[4]Sheet1!$A:$C,3,FALSE),0)</f>
        <v>0</v>
      </c>
      <c r="F18" s="426">
        <v>0</v>
      </c>
      <c r="H18" s="426">
        <f t="shared" si="0"/>
        <v>0</v>
      </c>
      <c r="I18" s="417" t="e">
        <f>VLOOKUP(C18,[5]Hoja3!$A:$B,2,FALSE)</f>
        <v>#N/A</v>
      </c>
      <c r="J18" s="417" t="e">
        <f t="shared" si="1"/>
        <v>#N/A</v>
      </c>
    </row>
    <row r="19" spans="1:10" ht="13.2" x14ac:dyDescent="0.25">
      <c r="A19" s="409" t="s">
        <v>95</v>
      </c>
      <c r="B19" s="147" t="s">
        <v>345</v>
      </c>
      <c r="C19" s="414" t="s">
        <v>1363</v>
      </c>
      <c r="D19" s="414" t="s">
        <v>1364</v>
      </c>
      <c r="E19" s="426">
        <f>IFERROR(VLOOKUP(C19,[4]Sheet1!$A:$C,3,FALSE),0)</f>
        <v>0</v>
      </c>
      <c r="F19" s="426">
        <v>0</v>
      </c>
      <c r="H19" s="426">
        <f t="shared" si="0"/>
        <v>0</v>
      </c>
      <c r="I19" s="417" t="e">
        <f>VLOOKUP(C19,[5]Hoja3!$A:$B,2,FALSE)</f>
        <v>#N/A</v>
      </c>
      <c r="J19" s="417" t="e">
        <f t="shared" si="1"/>
        <v>#N/A</v>
      </c>
    </row>
    <row r="20" spans="1:10" ht="13.2" x14ac:dyDescent="0.25">
      <c r="A20" s="409" t="s">
        <v>95</v>
      </c>
      <c r="B20" s="147" t="s">
        <v>352</v>
      </c>
      <c r="C20" s="414" t="s">
        <v>985</v>
      </c>
      <c r="D20" s="414" t="s">
        <v>986</v>
      </c>
      <c r="E20" s="426">
        <f>IFERROR(VLOOKUP(C20,[4]Sheet1!$A:$C,3,FALSE),0)</f>
        <v>8837070</v>
      </c>
      <c r="F20" s="426">
        <v>9364288</v>
      </c>
      <c r="H20" s="426">
        <f t="shared" si="0"/>
        <v>9364288</v>
      </c>
      <c r="I20" s="417" t="e">
        <f>VLOOKUP(C20,[5]Hoja3!$A:$B,2,FALSE)</f>
        <v>#N/A</v>
      </c>
      <c r="J20" s="417" t="e">
        <f t="shared" si="1"/>
        <v>#N/A</v>
      </c>
    </row>
    <row r="21" spans="1:10" ht="13.2" x14ac:dyDescent="0.25">
      <c r="A21" s="409" t="s">
        <v>95</v>
      </c>
      <c r="B21" s="147" t="s">
        <v>352</v>
      </c>
      <c r="C21" s="414" t="s">
        <v>987</v>
      </c>
      <c r="D21" s="414" t="s">
        <v>988</v>
      </c>
      <c r="E21" s="426">
        <f>IFERROR(VLOOKUP(C21,[4]Sheet1!$A:$C,3,FALSE),0)</f>
        <v>-439163</v>
      </c>
      <c r="F21" s="426">
        <v>-452151</v>
      </c>
      <c r="H21" s="426">
        <f t="shared" si="0"/>
        <v>-452151</v>
      </c>
      <c r="I21" s="417" t="e">
        <f>VLOOKUP(C21,[5]Hoja3!$A:$B,2,FALSE)</f>
        <v>#N/A</v>
      </c>
      <c r="J21" s="417" t="e">
        <f t="shared" si="1"/>
        <v>#N/A</v>
      </c>
    </row>
    <row r="22" spans="1:10" ht="13.2" x14ac:dyDescent="0.25">
      <c r="A22" s="409" t="s">
        <v>95</v>
      </c>
      <c r="B22" s="147" t="s">
        <v>352</v>
      </c>
      <c r="C22" s="414" t="s">
        <v>1365</v>
      </c>
      <c r="D22" s="414" t="s">
        <v>1366</v>
      </c>
      <c r="E22" s="426">
        <f>IFERROR(VLOOKUP(C22,[4]Sheet1!$A:$C,3,FALSE),0)</f>
        <v>0</v>
      </c>
      <c r="F22" s="426">
        <v>0</v>
      </c>
      <c r="H22" s="426">
        <f t="shared" si="0"/>
        <v>0</v>
      </c>
      <c r="I22" s="417" t="e">
        <f>VLOOKUP(C22,[5]Hoja3!$A:$B,2,FALSE)</f>
        <v>#N/A</v>
      </c>
      <c r="J22" s="417" t="e">
        <f t="shared" si="1"/>
        <v>#N/A</v>
      </c>
    </row>
    <row r="23" spans="1:10" ht="13.2" x14ac:dyDescent="0.25">
      <c r="A23" s="409" t="s">
        <v>95</v>
      </c>
      <c r="B23" s="147" t="s">
        <v>349</v>
      </c>
      <c r="C23" s="414" t="s">
        <v>989</v>
      </c>
      <c r="D23" s="414" t="s">
        <v>990</v>
      </c>
      <c r="E23" s="426">
        <f>IFERROR(VLOOKUP(C23,[4]Sheet1!$A:$C,3,FALSE),0)</f>
        <v>39435606</v>
      </c>
      <c r="F23" s="426">
        <v>121223833</v>
      </c>
      <c r="H23" s="426">
        <f t="shared" si="0"/>
        <v>121223833</v>
      </c>
      <c r="I23" s="417" t="e">
        <f>VLOOKUP(C23,[5]Hoja3!$A:$B,2,FALSE)</f>
        <v>#N/A</v>
      </c>
      <c r="J23" s="417" t="e">
        <f t="shared" si="1"/>
        <v>#N/A</v>
      </c>
    </row>
    <row r="24" spans="1:10" ht="13.2" x14ac:dyDescent="0.25">
      <c r="A24" s="409" t="s">
        <v>95</v>
      </c>
      <c r="B24" s="147" t="s">
        <v>349</v>
      </c>
      <c r="C24" s="414" t="s">
        <v>991</v>
      </c>
      <c r="D24" s="414" t="s">
        <v>992</v>
      </c>
      <c r="E24" s="426">
        <f>IFERROR(VLOOKUP(C24,[4]Sheet1!$A:$C,3,FALSE),0)</f>
        <v>-1705553</v>
      </c>
      <c r="F24" s="426">
        <v>-3251013</v>
      </c>
      <c r="H24" s="426">
        <f t="shared" si="0"/>
        <v>-3251013</v>
      </c>
      <c r="I24" s="417" t="e">
        <f>VLOOKUP(C24,[5]Hoja3!$A:$B,2,FALSE)</f>
        <v>#N/A</v>
      </c>
      <c r="J24" s="417" t="e">
        <f t="shared" si="1"/>
        <v>#N/A</v>
      </c>
    </row>
    <row r="25" spans="1:10" ht="13.2" x14ac:dyDescent="0.25">
      <c r="A25" s="409" t="s">
        <v>95</v>
      </c>
      <c r="B25" s="147" t="s">
        <v>349</v>
      </c>
      <c r="C25" s="414" t="s">
        <v>1367</v>
      </c>
      <c r="D25" s="414" t="s">
        <v>1368</v>
      </c>
      <c r="E25" s="426">
        <f>IFERROR(VLOOKUP(C25,[4]Sheet1!$A:$C,3,FALSE),0)</f>
        <v>0</v>
      </c>
      <c r="F25" s="426">
        <v>0</v>
      </c>
      <c r="H25" s="426">
        <f t="shared" si="0"/>
        <v>0</v>
      </c>
      <c r="I25" s="417" t="e">
        <f>VLOOKUP(C25,[5]Hoja3!$A:$B,2,FALSE)</f>
        <v>#N/A</v>
      </c>
      <c r="J25" s="417" t="e">
        <f t="shared" si="1"/>
        <v>#N/A</v>
      </c>
    </row>
    <row r="26" spans="1:10" ht="13.2" x14ac:dyDescent="0.25">
      <c r="A26" s="409" t="s">
        <v>95</v>
      </c>
      <c r="B26" s="147" t="s">
        <v>349</v>
      </c>
      <c r="C26" s="414" t="s">
        <v>1369</v>
      </c>
      <c r="D26" s="414" t="s">
        <v>1370</v>
      </c>
      <c r="E26" s="426">
        <f>IFERROR(VLOOKUP(C26,[4]Sheet1!$A:$C,3,FALSE),0)</f>
        <v>0</v>
      </c>
      <c r="F26" s="426">
        <v>0</v>
      </c>
      <c r="H26" s="426">
        <f t="shared" si="0"/>
        <v>0</v>
      </c>
      <c r="I26" s="417" t="e">
        <f>VLOOKUP(C26,[5]Hoja3!$A:$B,2,FALSE)</f>
        <v>#N/A</v>
      </c>
      <c r="J26" s="417" t="e">
        <f t="shared" si="1"/>
        <v>#N/A</v>
      </c>
    </row>
    <row r="27" spans="1:10" ht="13.2" x14ac:dyDescent="0.25">
      <c r="A27" s="409" t="s">
        <v>95</v>
      </c>
      <c r="B27" s="147" t="s">
        <v>349</v>
      </c>
      <c r="C27" s="414" t="s">
        <v>1371</v>
      </c>
      <c r="D27" s="414" t="s">
        <v>1372</v>
      </c>
      <c r="E27" s="426">
        <f>IFERROR(VLOOKUP(C27,[4]Sheet1!$A:$C,3,FALSE),0)</f>
        <v>0</v>
      </c>
      <c r="F27" s="426">
        <v>0</v>
      </c>
      <c r="H27" s="426">
        <f t="shared" si="0"/>
        <v>0</v>
      </c>
      <c r="I27" s="417" t="e">
        <f>VLOOKUP(C27,[5]Hoja3!$A:$B,2,FALSE)</f>
        <v>#N/A</v>
      </c>
      <c r="J27" s="417" t="e">
        <f t="shared" si="1"/>
        <v>#N/A</v>
      </c>
    </row>
    <row r="28" spans="1:10" ht="13.2" x14ac:dyDescent="0.25">
      <c r="A28" s="409" t="s">
        <v>95</v>
      </c>
      <c r="B28" s="147" t="s">
        <v>349</v>
      </c>
      <c r="C28" s="414" t="s">
        <v>1373</v>
      </c>
      <c r="D28" s="414" t="s">
        <v>1374</v>
      </c>
      <c r="E28" s="426">
        <f>IFERROR(VLOOKUP(C28,[4]Sheet1!$A:$C,3,FALSE),0)</f>
        <v>0</v>
      </c>
      <c r="F28" s="426">
        <v>0</v>
      </c>
      <c r="H28" s="426">
        <f t="shared" si="0"/>
        <v>0</v>
      </c>
      <c r="I28" s="417" t="e">
        <f>VLOOKUP(C28,[5]Hoja3!$A:$B,2,FALSE)</f>
        <v>#N/A</v>
      </c>
      <c r="J28" s="417" t="e">
        <f t="shared" si="1"/>
        <v>#N/A</v>
      </c>
    </row>
    <row r="29" spans="1:10" ht="13.2" x14ac:dyDescent="0.25">
      <c r="A29" s="409" t="s">
        <v>95</v>
      </c>
      <c r="B29" s="147" t="s">
        <v>349</v>
      </c>
      <c r="C29" s="414" t="s">
        <v>993</v>
      </c>
      <c r="D29" s="414" t="s">
        <v>994</v>
      </c>
      <c r="E29" s="426">
        <f>IFERROR(VLOOKUP(C29,[4]Sheet1!$A:$C,3,FALSE),0)</f>
        <v>462087349</v>
      </c>
      <c r="F29" s="426">
        <v>341618406</v>
      </c>
      <c r="H29" s="426">
        <f t="shared" si="0"/>
        <v>341618406</v>
      </c>
      <c r="I29" s="417" t="e">
        <f>VLOOKUP(C29,[5]Hoja3!$A:$B,2,FALSE)</f>
        <v>#N/A</v>
      </c>
      <c r="J29" s="417" t="e">
        <f t="shared" si="1"/>
        <v>#N/A</v>
      </c>
    </row>
    <row r="30" spans="1:10" ht="13.2" x14ac:dyDescent="0.25">
      <c r="A30" s="409" t="s">
        <v>95</v>
      </c>
      <c r="B30" s="147" t="s">
        <v>349</v>
      </c>
      <c r="C30" s="414" t="s">
        <v>995</v>
      </c>
      <c r="D30" s="414" t="s">
        <v>996</v>
      </c>
      <c r="E30" s="426">
        <f>IFERROR(VLOOKUP(C30,[4]Sheet1!$A:$C,3,FALSE),0)</f>
        <v>29859344</v>
      </c>
      <c r="F30" s="426">
        <v>35213059</v>
      </c>
      <c r="H30" s="426">
        <f t="shared" si="0"/>
        <v>35213059</v>
      </c>
      <c r="I30" s="417" t="e">
        <f>VLOOKUP(C30,[5]Hoja3!$A:$B,2,FALSE)</f>
        <v>#N/A</v>
      </c>
      <c r="J30" s="417" t="e">
        <f t="shared" si="1"/>
        <v>#N/A</v>
      </c>
    </row>
    <row r="31" spans="1:10" ht="13.2" x14ac:dyDescent="0.25">
      <c r="A31" s="409" t="s">
        <v>95</v>
      </c>
      <c r="B31" s="147" t="s">
        <v>349</v>
      </c>
      <c r="C31" s="414" t="s">
        <v>997</v>
      </c>
      <c r="D31" s="414" t="s">
        <v>998</v>
      </c>
      <c r="E31" s="426">
        <f>IFERROR(VLOOKUP(C31,[4]Sheet1!$A:$C,3,FALSE),0)</f>
        <v>67695675</v>
      </c>
      <c r="F31" s="426">
        <v>278587450</v>
      </c>
      <c r="H31" s="426">
        <f t="shared" si="0"/>
        <v>278587450</v>
      </c>
      <c r="I31" s="417" t="e">
        <f>VLOOKUP(C31,[5]Hoja3!$A:$B,2,FALSE)</f>
        <v>#N/A</v>
      </c>
      <c r="J31" s="417" t="e">
        <f t="shared" si="1"/>
        <v>#N/A</v>
      </c>
    </row>
    <row r="32" spans="1:10" ht="13.2" x14ac:dyDescent="0.25">
      <c r="A32" s="409" t="s">
        <v>95</v>
      </c>
      <c r="B32" s="147" t="s">
        <v>349</v>
      </c>
      <c r="C32" s="414" t="s">
        <v>999</v>
      </c>
      <c r="D32" s="414" t="s">
        <v>1000</v>
      </c>
      <c r="E32" s="426">
        <f>IFERROR(VLOOKUP(C32,[4]Sheet1!$A:$C,3,FALSE),0)</f>
        <v>0</v>
      </c>
      <c r="F32" s="426">
        <v>10506019</v>
      </c>
      <c r="H32" s="426">
        <f t="shared" si="0"/>
        <v>10506019</v>
      </c>
      <c r="I32" s="417" t="e">
        <f>VLOOKUP(C32,[5]Hoja3!$A:$B,2,FALSE)</f>
        <v>#N/A</v>
      </c>
      <c r="J32" s="417" t="e">
        <f t="shared" si="1"/>
        <v>#N/A</v>
      </c>
    </row>
    <row r="33" spans="1:10" ht="13.2" x14ac:dyDescent="0.25">
      <c r="A33" s="409" t="s">
        <v>95</v>
      </c>
      <c r="B33" s="147" t="s">
        <v>349</v>
      </c>
      <c r="C33" s="414" t="s">
        <v>1001</v>
      </c>
      <c r="D33" s="414" t="s">
        <v>1002</v>
      </c>
      <c r="E33" s="426">
        <f>IFERROR(VLOOKUP(C33,[4]Sheet1!$A:$C,3,FALSE),0)</f>
        <v>4700105318</v>
      </c>
      <c r="F33" s="426">
        <v>6329716636</v>
      </c>
      <c r="H33" s="426">
        <f t="shared" si="0"/>
        <v>6329716636</v>
      </c>
      <c r="I33" s="417" t="e">
        <f>VLOOKUP(C33,[5]Hoja3!$A:$B,2,FALSE)</f>
        <v>#N/A</v>
      </c>
      <c r="J33" s="417" t="e">
        <f t="shared" si="1"/>
        <v>#N/A</v>
      </c>
    </row>
    <row r="34" spans="1:10" ht="13.2" x14ac:dyDescent="0.25">
      <c r="A34" s="409" t="s">
        <v>95</v>
      </c>
      <c r="B34" s="147" t="s">
        <v>349</v>
      </c>
      <c r="C34" s="414" t="s">
        <v>1003</v>
      </c>
      <c r="D34" s="414" t="s">
        <v>1004</v>
      </c>
      <c r="E34" s="426">
        <f>IFERROR(VLOOKUP(C34,[4]Sheet1!$A:$C,3,FALSE),0)</f>
        <v>531436670</v>
      </c>
      <c r="F34" s="426">
        <v>763423953</v>
      </c>
      <c r="H34" s="426">
        <f t="shared" si="0"/>
        <v>763423953</v>
      </c>
      <c r="I34" s="417" t="e">
        <f>VLOOKUP(C34,[5]Hoja3!$A:$B,2,FALSE)</f>
        <v>#N/A</v>
      </c>
      <c r="J34" s="417" t="e">
        <f t="shared" si="1"/>
        <v>#N/A</v>
      </c>
    </row>
    <row r="35" spans="1:10" ht="13.2" x14ac:dyDescent="0.25">
      <c r="A35" s="409" t="s">
        <v>95</v>
      </c>
      <c r="B35" s="147" t="s">
        <v>344</v>
      </c>
      <c r="C35" s="414" t="s">
        <v>1005</v>
      </c>
      <c r="D35" s="414" t="s">
        <v>1006</v>
      </c>
      <c r="E35" s="426">
        <f>IFERROR(VLOOKUP(C35,[4]Sheet1!$A:$C,3,FALSE),0)</f>
        <v>51297840639</v>
      </c>
      <c r="F35" s="426">
        <v>79322003543</v>
      </c>
      <c r="H35" s="426">
        <f t="shared" si="0"/>
        <v>79322003543</v>
      </c>
      <c r="I35" s="417" t="e">
        <f>VLOOKUP(C35,[5]Hoja3!$A:$B,2,FALSE)</f>
        <v>#N/A</v>
      </c>
      <c r="J35" s="417" t="e">
        <f t="shared" si="1"/>
        <v>#N/A</v>
      </c>
    </row>
    <row r="36" spans="1:10" ht="13.2" x14ac:dyDescent="0.25">
      <c r="A36" s="409" t="s">
        <v>95</v>
      </c>
      <c r="B36" s="147" t="s">
        <v>344</v>
      </c>
      <c r="C36" s="414" t="s">
        <v>1375</v>
      </c>
      <c r="D36" s="414" t="s">
        <v>1376</v>
      </c>
      <c r="E36" s="426">
        <f>IFERROR(VLOOKUP(C36,[4]Sheet1!$A:$C,3,FALSE),0)</f>
        <v>0</v>
      </c>
      <c r="F36" s="426">
        <v>0</v>
      </c>
      <c r="H36" s="426">
        <f t="shared" si="0"/>
        <v>0</v>
      </c>
      <c r="I36" s="417" t="e">
        <f>VLOOKUP(C36,[5]Hoja3!$A:$B,2,FALSE)</f>
        <v>#N/A</v>
      </c>
      <c r="J36" s="417" t="e">
        <f t="shared" si="1"/>
        <v>#N/A</v>
      </c>
    </row>
    <row r="37" spans="1:10" ht="13.2" x14ac:dyDescent="0.25">
      <c r="A37" s="409" t="s">
        <v>95</v>
      </c>
      <c r="B37" s="147" t="s">
        <v>344</v>
      </c>
      <c r="C37" s="414" t="s">
        <v>1007</v>
      </c>
      <c r="D37" s="414" t="s">
        <v>1008</v>
      </c>
      <c r="E37" s="426">
        <f>IFERROR(VLOOKUP(C37,[4]Sheet1!$A:$C,3,FALSE),0)</f>
        <v>-908423513</v>
      </c>
      <c r="F37" s="426">
        <v>-1595518120</v>
      </c>
      <c r="H37" s="426">
        <f t="shared" si="0"/>
        <v>-1595518120</v>
      </c>
      <c r="I37" s="417" t="e">
        <f>VLOOKUP(C37,[5]Hoja3!$A:$B,2,FALSE)</f>
        <v>#N/A</v>
      </c>
      <c r="J37" s="417" t="e">
        <f t="shared" si="1"/>
        <v>#N/A</v>
      </c>
    </row>
    <row r="38" spans="1:10" ht="13.2" x14ac:dyDescent="0.25">
      <c r="A38" s="409" t="s">
        <v>95</v>
      </c>
      <c r="B38" s="147" t="s">
        <v>344</v>
      </c>
      <c r="C38" s="414" t="s">
        <v>1009</v>
      </c>
      <c r="D38" s="414" t="s">
        <v>1010</v>
      </c>
      <c r="E38" s="426">
        <f>IFERROR(VLOOKUP(C38,[4]Sheet1!$A:$C,3,FALSE),0)</f>
        <v>1469836171</v>
      </c>
      <c r="F38" s="426">
        <v>2358931868</v>
      </c>
      <c r="H38" s="426">
        <f t="shared" si="0"/>
        <v>2358931868</v>
      </c>
      <c r="I38" s="417" t="e">
        <f>VLOOKUP(C38,[5]Hoja3!$A:$B,2,FALSE)</f>
        <v>#N/A</v>
      </c>
      <c r="J38" s="417" t="e">
        <f t="shared" si="1"/>
        <v>#N/A</v>
      </c>
    </row>
    <row r="39" spans="1:10" ht="13.2" x14ac:dyDescent="0.25">
      <c r="A39" s="409" t="s">
        <v>95</v>
      </c>
      <c r="B39" s="147" t="s">
        <v>350</v>
      </c>
      <c r="C39" s="414" t="s">
        <v>1011</v>
      </c>
      <c r="D39" s="414" t="s">
        <v>350</v>
      </c>
      <c r="E39" s="426">
        <f>IFERROR(VLOOKUP(C39,[4]Sheet1!$A:$C,3,FALSE),0)</f>
        <v>11217008931</v>
      </c>
      <c r="F39" s="426">
        <v>12295946891</v>
      </c>
      <c r="H39" s="426">
        <f t="shared" si="0"/>
        <v>12295946891</v>
      </c>
      <c r="I39" s="417" t="e">
        <f>VLOOKUP(C39,[5]Hoja3!$A:$B,2,FALSE)</f>
        <v>#N/A</v>
      </c>
      <c r="J39" s="417" t="e">
        <f t="shared" si="1"/>
        <v>#N/A</v>
      </c>
    </row>
    <row r="40" spans="1:10" ht="13.2" x14ac:dyDescent="0.25">
      <c r="A40" s="409" t="s">
        <v>95</v>
      </c>
      <c r="B40" s="147" t="s">
        <v>350</v>
      </c>
      <c r="C40" s="414" t="s">
        <v>1377</v>
      </c>
      <c r="D40" s="414" t="s">
        <v>1378</v>
      </c>
      <c r="E40" s="426">
        <f>IFERROR(VLOOKUP(C40,[4]Sheet1!$A:$C,3,FALSE),0)</f>
        <v>0</v>
      </c>
      <c r="F40" s="426">
        <v>0</v>
      </c>
      <c r="H40" s="426">
        <f t="shared" si="0"/>
        <v>0</v>
      </c>
      <c r="I40" s="417" t="e">
        <f>VLOOKUP(C40,[5]Hoja3!$A:$B,2,FALSE)</f>
        <v>#N/A</v>
      </c>
      <c r="J40" s="417" t="e">
        <f t="shared" si="1"/>
        <v>#N/A</v>
      </c>
    </row>
    <row r="41" spans="1:10" ht="13.2" x14ac:dyDescent="0.25">
      <c r="A41" s="409" t="s">
        <v>95</v>
      </c>
      <c r="B41" s="147" t="s">
        <v>350</v>
      </c>
      <c r="C41" s="414" t="s">
        <v>1379</v>
      </c>
      <c r="D41" s="414" t="s">
        <v>1380</v>
      </c>
      <c r="E41" s="426">
        <f>IFERROR(VLOOKUP(C41,[4]Sheet1!$A:$C,3,FALSE),0)</f>
        <v>0</v>
      </c>
      <c r="F41" s="426">
        <v>0</v>
      </c>
      <c r="H41" s="426">
        <f t="shared" si="0"/>
        <v>0</v>
      </c>
      <c r="I41" s="417" t="e">
        <f>VLOOKUP(C41,[5]Hoja3!$A:$B,2,FALSE)</f>
        <v>#N/A</v>
      </c>
      <c r="J41" s="417" t="e">
        <f t="shared" si="1"/>
        <v>#N/A</v>
      </c>
    </row>
    <row r="42" spans="1:10" ht="13.2" x14ac:dyDescent="0.25">
      <c r="A42" s="409" t="s">
        <v>95</v>
      </c>
      <c r="B42" s="147" t="s">
        <v>351</v>
      </c>
      <c r="C42" s="414" t="s">
        <v>1012</v>
      </c>
      <c r="D42" s="414" t="s">
        <v>351</v>
      </c>
      <c r="E42" s="426">
        <f>IFERROR(VLOOKUP(C42,[4]Sheet1!$A:$C,3,FALSE),0)</f>
        <v>0</v>
      </c>
      <c r="F42" s="426">
        <v>21129176</v>
      </c>
      <c r="H42" s="426">
        <f t="shared" si="0"/>
        <v>21129176</v>
      </c>
      <c r="I42" s="417" t="e">
        <f>VLOOKUP(C42,[5]Hoja3!$A:$B,2,FALSE)</f>
        <v>#N/A</v>
      </c>
      <c r="J42" s="417" t="e">
        <f t="shared" si="1"/>
        <v>#N/A</v>
      </c>
    </row>
    <row r="43" spans="1:10" ht="13.2" x14ac:dyDescent="0.25">
      <c r="A43" s="409" t="s">
        <v>95</v>
      </c>
      <c r="B43" s="147" t="s">
        <v>351</v>
      </c>
      <c r="C43" s="414" t="s">
        <v>1381</v>
      </c>
      <c r="D43" s="414" t="s">
        <v>1382</v>
      </c>
      <c r="E43" s="426">
        <f>IFERROR(VLOOKUP(C43,[4]Sheet1!$A:$C,3,FALSE),0)</f>
        <v>0</v>
      </c>
      <c r="F43" s="426">
        <v>0</v>
      </c>
      <c r="H43" s="426">
        <f t="shared" si="0"/>
        <v>0</v>
      </c>
      <c r="I43" s="417" t="e">
        <f>VLOOKUP(C43,[5]Hoja3!$A:$B,2,FALSE)</f>
        <v>#N/A</v>
      </c>
      <c r="J43" s="417" t="e">
        <f t="shared" si="1"/>
        <v>#N/A</v>
      </c>
    </row>
    <row r="44" spans="1:10" ht="13.2" x14ac:dyDescent="0.25">
      <c r="A44" s="409" t="s">
        <v>95</v>
      </c>
      <c r="B44" s="147" t="s">
        <v>351</v>
      </c>
      <c r="C44" s="414" t="s">
        <v>1013</v>
      </c>
      <c r="D44" s="414" t="s">
        <v>1014</v>
      </c>
      <c r="E44" s="426">
        <f>IFERROR(VLOOKUP(C44,[4]Sheet1!$A:$C,3,FALSE),0)</f>
        <v>-39339333</v>
      </c>
      <c r="F44" s="426">
        <v>-51063556</v>
      </c>
      <c r="H44" s="426">
        <f t="shared" si="0"/>
        <v>-51063556</v>
      </c>
      <c r="I44" s="417" t="e">
        <f>VLOOKUP(C44,[5]Hoja3!$A:$B,2,FALSE)</f>
        <v>#N/A</v>
      </c>
      <c r="J44" s="417" t="e">
        <f t="shared" si="1"/>
        <v>#N/A</v>
      </c>
    </row>
    <row r="45" spans="1:10" ht="13.2" x14ac:dyDescent="0.25">
      <c r="A45" s="409" t="s">
        <v>95</v>
      </c>
      <c r="B45" s="147" t="s">
        <v>351</v>
      </c>
      <c r="C45" s="414" t="s">
        <v>1015</v>
      </c>
      <c r="D45" s="414" t="s">
        <v>1016</v>
      </c>
      <c r="E45" s="426">
        <f>IFERROR(VLOOKUP(C45,[4]Sheet1!$A:$C,3,FALSE),0)</f>
        <v>506371162</v>
      </c>
      <c r="F45" s="426">
        <v>121932663</v>
      </c>
      <c r="H45" s="426">
        <f t="shared" si="0"/>
        <v>121932663</v>
      </c>
      <c r="I45" s="417" t="e">
        <f>VLOOKUP(C45,[5]Hoja3!$A:$B,2,FALSE)</f>
        <v>#N/A</v>
      </c>
      <c r="J45" s="417" t="e">
        <f t="shared" si="1"/>
        <v>#N/A</v>
      </c>
    </row>
    <row r="46" spans="1:10" ht="13.2" x14ac:dyDescent="0.25">
      <c r="A46" s="409" t="s">
        <v>95</v>
      </c>
      <c r="B46" s="147" t="s">
        <v>351</v>
      </c>
      <c r="C46" s="414" t="s">
        <v>1549</v>
      </c>
      <c r="D46" s="414" t="s">
        <v>1550</v>
      </c>
      <c r="E46" s="426">
        <f>IFERROR(VLOOKUP(C46,[4]Sheet1!$A:$C,3,FALSE),0)</f>
        <v>2348249</v>
      </c>
      <c r="F46" s="426">
        <v>0</v>
      </c>
      <c r="H46" s="426">
        <f t="shared" ref="H46" si="2">+F46-G46</f>
        <v>0</v>
      </c>
      <c r="I46" s="417" t="e">
        <f>VLOOKUP(C46,[5]Hoja3!$A:$B,2,FALSE)</f>
        <v>#N/A</v>
      </c>
      <c r="J46" s="417" t="e">
        <f t="shared" ref="J46" si="3">+E46+I46</f>
        <v>#N/A</v>
      </c>
    </row>
    <row r="47" spans="1:10" ht="13.2" x14ac:dyDescent="0.25">
      <c r="A47" s="409" t="s">
        <v>95</v>
      </c>
      <c r="B47" s="147" t="s">
        <v>351</v>
      </c>
      <c r="C47" s="414" t="s">
        <v>1017</v>
      </c>
      <c r="D47" s="414" t="s">
        <v>1018</v>
      </c>
      <c r="E47" s="426">
        <f>IFERROR(VLOOKUP(C47,[4]Sheet1!$A:$C,3,FALSE),0)</f>
        <v>0</v>
      </c>
      <c r="F47" s="426">
        <v>392927932</v>
      </c>
      <c r="H47" s="426">
        <f t="shared" si="0"/>
        <v>392927932</v>
      </c>
      <c r="I47" s="417" t="e">
        <f>VLOOKUP(C47,[5]Hoja3!$A:$B,2,FALSE)</f>
        <v>#N/A</v>
      </c>
      <c r="J47" s="417" t="e">
        <f t="shared" si="1"/>
        <v>#N/A</v>
      </c>
    </row>
    <row r="48" spans="1:10" ht="13.2" x14ac:dyDescent="0.25">
      <c r="A48" s="409" t="s">
        <v>95</v>
      </c>
      <c r="B48" s="147" t="s">
        <v>351</v>
      </c>
      <c r="C48" s="414" t="s">
        <v>1019</v>
      </c>
      <c r="D48" s="414" t="s">
        <v>1020</v>
      </c>
      <c r="E48" s="426">
        <f>IFERROR(VLOOKUP(C48,[4]Sheet1!$A:$C,3,FALSE),0)</f>
        <v>47381113</v>
      </c>
      <c r="F48" s="426">
        <v>32426780</v>
      </c>
      <c r="H48" s="426">
        <f t="shared" si="0"/>
        <v>32426780</v>
      </c>
      <c r="I48" s="417" t="e">
        <f>VLOOKUP(C48,[5]Hoja3!$A:$B,2,FALSE)</f>
        <v>#N/A</v>
      </c>
      <c r="J48" s="417" t="e">
        <f t="shared" si="1"/>
        <v>#N/A</v>
      </c>
    </row>
    <row r="49" spans="1:10" ht="13.2" x14ac:dyDescent="0.25">
      <c r="A49" s="409" t="s">
        <v>95</v>
      </c>
      <c r="B49" s="147" t="s">
        <v>351</v>
      </c>
      <c r="C49" s="414" t="s">
        <v>1021</v>
      </c>
      <c r="D49" s="414" t="s">
        <v>1022</v>
      </c>
      <c r="E49" s="426">
        <f>IFERROR(VLOOKUP(C49,[4]Sheet1!$A:$C,3,FALSE),0)</f>
        <v>3490408</v>
      </c>
      <c r="F49" s="426">
        <v>5893946</v>
      </c>
      <c r="H49" s="426">
        <f t="shared" si="0"/>
        <v>5893946</v>
      </c>
      <c r="I49" s="417" t="e">
        <f>VLOOKUP(C49,[5]Hoja3!$A:$B,2,FALSE)</f>
        <v>#N/A</v>
      </c>
      <c r="J49" s="417" t="e">
        <f t="shared" si="1"/>
        <v>#N/A</v>
      </c>
    </row>
    <row r="50" spans="1:10" ht="13.2" x14ac:dyDescent="0.25">
      <c r="A50" s="409" t="s">
        <v>95</v>
      </c>
      <c r="B50" s="147" t="s">
        <v>1493</v>
      </c>
      <c r="C50" s="414" t="s">
        <v>1505</v>
      </c>
      <c r="D50" s="414" t="s">
        <v>1506</v>
      </c>
      <c r="E50" s="426">
        <f>IFERROR(VLOOKUP(C50,[4]Sheet1!$A:$C,3,FALSE),0)</f>
        <v>1792681092</v>
      </c>
      <c r="F50" s="426">
        <v>0</v>
      </c>
      <c r="I50" s="417"/>
      <c r="J50" s="417"/>
    </row>
    <row r="51" spans="1:10" ht="13.2" x14ac:dyDescent="0.25">
      <c r="A51" s="409" t="s">
        <v>95</v>
      </c>
      <c r="B51" s="147" t="s">
        <v>1493</v>
      </c>
      <c r="C51" s="414" t="s">
        <v>1507</v>
      </c>
      <c r="D51" s="414" t="s">
        <v>1508</v>
      </c>
      <c r="E51" s="426">
        <f>IFERROR(VLOOKUP(C51,[4]Sheet1!$A:$C,3,FALSE),0)</f>
        <v>2276560481</v>
      </c>
      <c r="F51" s="426">
        <v>0</v>
      </c>
      <c r="I51" s="417"/>
      <c r="J51" s="417"/>
    </row>
    <row r="52" spans="1:10" ht="13.2" x14ac:dyDescent="0.25">
      <c r="A52" s="409" t="s">
        <v>95</v>
      </c>
      <c r="B52" s="147" t="s">
        <v>1493</v>
      </c>
      <c r="C52" s="414" t="s">
        <v>1509</v>
      </c>
      <c r="D52" s="414" t="s">
        <v>1510</v>
      </c>
      <c r="E52" s="426">
        <f>IFERROR(VLOOKUP(C52,[4]Sheet1!$A:$C,3,FALSE),0)</f>
        <v>4678922890</v>
      </c>
      <c r="F52" s="426">
        <v>0</v>
      </c>
      <c r="I52" s="417"/>
      <c r="J52" s="417"/>
    </row>
    <row r="53" spans="1:10" ht="13.2" x14ac:dyDescent="0.2">
      <c r="A53" s="409" t="s">
        <v>1383</v>
      </c>
      <c r="B53" s="211" t="s">
        <v>355</v>
      </c>
      <c r="C53" s="414" t="s">
        <v>1023</v>
      </c>
      <c r="D53" s="414" t="s">
        <v>1024</v>
      </c>
      <c r="E53" s="426">
        <f>IFERROR(VLOOKUP(C53,[4]Sheet1!$A:$C,3,FALSE),0)</f>
        <v>-2138350173</v>
      </c>
      <c r="F53" s="426">
        <v>3088384838</v>
      </c>
      <c r="I53" s="417"/>
      <c r="J53" s="417"/>
    </row>
    <row r="54" spans="1:10" ht="13.2" x14ac:dyDescent="0.2">
      <c r="A54" s="409" t="s">
        <v>1383</v>
      </c>
      <c r="B54" s="211" t="s">
        <v>356</v>
      </c>
      <c r="C54" s="414" t="s">
        <v>1025</v>
      </c>
      <c r="D54" s="414" t="s">
        <v>1026</v>
      </c>
      <c r="E54" s="426">
        <f>IFERROR(VLOOKUP(C54,[4]Sheet1!$A:$C,3,FALSE),0)</f>
        <v>-12232285473</v>
      </c>
      <c r="F54" s="426">
        <v>-21592761510</v>
      </c>
      <c r="I54" s="417"/>
      <c r="J54" s="417"/>
    </row>
    <row r="55" spans="1:10" ht="13.2" x14ac:dyDescent="0.2">
      <c r="A55" s="409" t="s">
        <v>1383</v>
      </c>
      <c r="B55" s="211" t="s">
        <v>358</v>
      </c>
      <c r="C55" s="414" t="s">
        <v>1027</v>
      </c>
      <c r="D55" s="414" t="s">
        <v>358</v>
      </c>
      <c r="E55" s="426">
        <f>IFERROR(VLOOKUP(C55,[4]Sheet1!$A:$C,3,FALSE),0)</f>
        <v>-4753365773</v>
      </c>
      <c r="F55" s="426">
        <v>-6462559368</v>
      </c>
      <c r="I55" s="417"/>
      <c r="J55" s="417"/>
    </row>
    <row r="56" spans="1:10" ht="13.2" x14ac:dyDescent="0.2">
      <c r="A56" s="409" t="s">
        <v>1383</v>
      </c>
      <c r="B56" s="211" t="s">
        <v>359</v>
      </c>
      <c r="C56" s="414" t="s">
        <v>1028</v>
      </c>
      <c r="D56" s="414" t="s">
        <v>1029</v>
      </c>
      <c r="E56" s="426">
        <f>IFERROR(VLOOKUP(C56,[4]Sheet1!$A:$C,3,FALSE),0)</f>
        <v>-12721305241</v>
      </c>
      <c r="F56" s="426">
        <v>-17130437509</v>
      </c>
      <c r="I56" s="417"/>
      <c r="J56" s="417"/>
    </row>
    <row r="57" spans="1:10" x14ac:dyDescent="0.2">
      <c r="A57" s="409" t="s">
        <v>1383</v>
      </c>
      <c r="B57" s="427" t="s">
        <v>1384</v>
      </c>
      <c r="C57" s="414" t="s">
        <v>1030</v>
      </c>
      <c r="D57" s="414" t="s">
        <v>1031</v>
      </c>
      <c r="E57" s="426">
        <f>IFERROR(VLOOKUP(C57,[4]Sheet1!$A:$C,3,FALSE),0)</f>
        <v>0</v>
      </c>
      <c r="F57" s="426">
        <v>-1139340</v>
      </c>
      <c r="I57" s="417"/>
      <c r="J57" s="417"/>
    </row>
    <row r="58" spans="1:10" ht="13.2" x14ac:dyDescent="0.2">
      <c r="A58" s="409" t="s">
        <v>1383</v>
      </c>
      <c r="B58" s="211" t="s">
        <v>357</v>
      </c>
      <c r="C58" s="414" t="s">
        <v>1032</v>
      </c>
      <c r="D58" s="414" t="s">
        <v>357</v>
      </c>
      <c r="E58" s="426">
        <f>IFERROR(VLOOKUP(C58,[4]Sheet1!$A:$C,3,FALSE),0)</f>
        <v>-20854675948</v>
      </c>
      <c r="F58" s="426">
        <v>-32034790516</v>
      </c>
      <c r="I58" s="417"/>
      <c r="J58" s="417"/>
    </row>
    <row r="59" spans="1:10" ht="13.2" x14ac:dyDescent="0.2">
      <c r="A59" s="409" t="s">
        <v>1383</v>
      </c>
      <c r="B59" s="211" t="s">
        <v>364</v>
      </c>
      <c r="C59" s="414" t="s">
        <v>1033</v>
      </c>
      <c r="D59" s="414" t="s">
        <v>1034</v>
      </c>
      <c r="E59" s="426">
        <f>IFERROR(VLOOKUP(C59,[4]Sheet1!$A:$C,3,FALSE),0)</f>
        <v>-5586595</v>
      </c>
      <c r="F59" s="426">
        <v>-6207912</v>
      </c>
      <c r="I59" s="417"/>
      <c r="J59" s="417"/>
    </row>
    <row r="60" spans="1:10" ht="13.2" x14ac:dyDescent="0.2">
      <c r="A60" s="409" t="s">
        <v>1383</v>
      </c>
      <c r="B60" s="211" t="s">
        <v>360</v>
      </c>
      <c r="C60" s="414" t="s">
        <v>1035</v>
      </c>
      <c r="D60" s="414" t="s">
        <v>1036</v>
      </c>
      <c r="E60" s="426">
        <f>IFERROR(VLOOKUP(C60,[4]Sheet1!$A:$C,3,FALSE),0)</f>
        <v>-2075837</v>
      </c>
      <c r="F60" s="426">
        <v>-3032422552</v>
      </c>
      <c r="I60" s="417"/>
      <c r="J60" s="417"/>
    </row>
    <row r="61" spans="1:10" ht="13.2" x14ac:dyDescent="0.2">
      <c r="A61" s="409" t="s">
        <v>1383</v>
      </c>
      <c r="B61" s="211" t="s">
        <v>360</v>
      </c>
      <c r="C61" s="414" t="s">
        <v>1385</v>
      </c>
      <c r="D61" s="414" t="s">
        <v>1386</v>
      </c>
      <c r="E61" s="426">
        <f>IFERROR(VLOOKUP(C61,[4]Sheet1!$A:$C,3,FALSE),0)</f>
        <v>0</v>
      </c>
      <c r="F61" s="426">
        <v>0</v>
      </c>
      <c r="I61" s="417"/>
      <c r="J61" s="417"/>
    </row>
    <row r="62" spans="1:10" ht="13.2" x14ac:dyDescent="0.2">
      <c r="A62" s="409" t="s">
        <v>1383</v>
      </c>
      <c r="B62" s="211" t="s">
        <v>360</v>
      </c>
      <c r="C62" s="414" t="s">
        <v>1387</v>
      </c>
      <c r="D62" s="414" t="s">
        <v>1388</v>
      </c>
      <c r="E62" s="426">
        <f>IFERROR(VLOOKUP(C62,[4]Sheet1!$A:$C,3,FALSE),0)</f>
        <v>0</v>
      </c>
      <c r="F62" s="426">
        <v>0</v>
      </c>
      <c r="I62" s="417"/>
      <c r="J62" s="417"/>
    </row>
    <row r="63" spans="1:10" ht="13.2" x14ac:dyDescent="0.2">
      <c r="A63" s="409" t="s">
        <v>1383</v>
      </c>
      <c r="B63" s="211" t="s">
        <v>355</v>
      </c>
      <c r="C63" s="414" t="s">
        <v>1037</v>
      </c>
      <c r="D63" s="414" t="s">
        <v>1038</v>
      </c>
      <c r="E63" s="426">
        <f>IFERROR(VLOOKUP(C63,[4]Sheet1!$A:$C,3,FALSE),0)</f>
        <v>-33837852407</v>
      </c>
      <c r="F63" s="426">
        <v>-45260731191</v>
      </c>
      <c r="I63" s="417"/>
      <c r="J63" s="417"/>
    </row>
    <row r="64" spans="1:10" ht="13.2" x14ac:dyDescent="0.2">
      <c r="A64" s="409" t="s">
        <v>1383</v>
      </c>
      <c r="B64" s="211" t="s">
        <v>355</v>
      </c>
      <c r="C64" s="414" t="s">
        <v>1039</v>
      </c>
      <c r="D64" s="414" t="s">
        <v>1040</v>
      </c>
      <c r="E64" s="426">
        <f>IFERROR(VLOOKUP(C64,[4]Sheet1!$A:$C,3,FALSE),0)</f>
        <v>-1288301172</v>
      </c>
      <c r="F64" s="426">
        <v>-2197998109</v>
      </c>
      <c r="I64" s="417"/>
      <c r="J64" s="417"/>
    </row>
    <row r="65" spans="1:10" ht="13.2" x14ac:dyDescent="0.2">
      <c r="A65" s="409" t="s">
        <v>1383</v>
      </c>
      <c r="B65" s="211" t="s">
        <v>355</v>
      </c>
      <c r="C65" s="414" t="s">
        <v>1041</v>
      </c>
      <c r="D65" s="414" t="s">
        <v>1042</v>
      </c>
      <c r="E65" s="426">
        <f>IFERROR(VLOOKUP(C65,[4]Sheet1!$A:$C,3,FALSE),0)</f>
        <v>0</v>
      </c>
      <c r="F65" s="426">
        <v>-350150397</v>
      </c>
      <c r="I65" s="417"/>
      <c r="J65" s="417"/>
    </row>
    <row r="66" spans="1:10" ht="13.2" x14ac:dyDescent="0.2">
      <c r="A66" s="409" t="s">
        <v>1383</v>
      </c>
      <c r="B66" s="211" t="s">
        <v>355</v>
      </c>
      <c r="C66" s="414" t="s">
        <v>1043</v>
      </c>
      <c r="D66" s="414" t="s">
        <v>1044</v>
      </c>
      <c r="E66" s="426">
        <f>IFERROR(VLOOKUP(C66,[4]Sheet1!$A:$C,3,FALSE),0)</f>
        <v>-98195554</v>
      </c>
      <c r="F66" s="426">
        <v>-41183955</v>
      </c>
      <c r="I66" s="417"/>
      <c r="J66" s="417"/>
    </row>
    <row r="67" spans="1:10" ht="13.2" x14ac:dyDescent="0.2">
      <c r="A67" s="409" t="s">
        <v>1383</v>
      </c>
      <c r="B67" s="211" t="s">
        <v>360</v>
      </c>
      <c r="C67" s="414" t="s">
        <v>1045</v>
      </c>
      <c r="D67" s="414" t="s">
        <v>1046</v>
      </c>
      <c r="E67" s="426">
        <f>IFERROR(VLOOKUP(C67,[4]Sheet1!$A:$C,3,FALSE),0)</f>
        <v>-41346432</v>
      </c>
      <c r="F67" s="426">
        <v>-116591392</v>
      </c>
      <c r="I67" s="417"/>
      <c r="J67" s="417"/>
    </row>
    <row r="68" spans="1:10" ht="13.2" x14ac:dyDescent="0.2">
      <c r="A68" s="409" t="s">
        <v>1383</v>
      </c>
      <c r="B68" s="211" t="s">
        <v>360</v>
      </c>
      <c r="C68" s="414" t="s">
        <v>1047</v>
      </c>
      <c r="D68" s="414" t="s">
        <v>1048</v>
      </c>
      <c r="E68" s="426">
        <f>IFERROR(VLOOKUP(C68,[4]Sheet1!$A:$C,3,FALSE),0)</f>
        <v>-297354449</v>
      </c>
      <c r="F68" s="426">
        <v>-186465639</v>
      </c>
      <c r="I68" s="417"/>
      <c r="J68" s="417"/>
    </row>
    <row r="69" spans="1:10" ht="13.2" x14ac:dyDescent="0.2">
      <c r="A69" s="409" t="s">
        <v>1383</v>
      </c>
      <c r="B69" s="211" t="s">
        <v>360</v>
      </c>
      <c r="C69" s="414" t="s">
        <v>1389</v>
      </c>
      <c r="D69" s="414" t="s">
        <v>1390</v>
      </c>
      <c r="E69" s="426">
        <f>IFERROR(VLOOKUP(C69,[4]Sheet1!$A:$C,3,FALSE),0)</f>
        <v>0</v>
      </c>
      <c r="F69" s="426">
        <v>0</v>
      </c>
      <c r="I69" s="417"/>
      <c r="J69" s="417"/>
    </row>
    <row r="70" spans="1:10" ht="13.2" x14ac:dyDescent="0.2">
      <c r="A70" s="409" t="s">
        <v>1383</v>
      </c>
      <c r="B70" s="211" t="s">
        <v>360</v>
      </c>
      <c r="C70" s="414" t="s">
        <v>1049</v>
      </c>
      <c r="D70" s="414" t="s">
        <v>1050</v>
      </c>
      <c r="E70" s="426">
        <f>IFERROR(VLOOKUP(C70,[4]Sheet1!$A:$C,3,FALSE),0)</f>
        <v>-3338159942</v>
      </c>
      <c r="F70" s="426">
        <v>-4487077898</v>
      </c>
      <c r="I70" s="417"/>
      <c r="J70" s="417"/>
    </row>
    <row r="71" spans="1:10" ht="13.2" x14ac:dyDescent="0.2">
      <c r="A71" s="409" t="s">
        <v>1383</v>
      </c>
      <c r="B71" s="211" t="s">
        <v>360</v>
      </c>
      <c r="C71" s="414" t="s">
        <v>1051</v>
      </c>
      <c r="D71" s="414" t="s">
        <v>1052</v>
      </c>
      <c r="E71" s="426">
        <f>IFERROR(VLOOKUP(C71,[4]Sheet1!$A:$C,3,FALSE),0)</f>
        <v>-412283991</v>
      </c>
      <c r="F71" s="426">
        <v>-601887965</v>
      </c>
      <c r="I71" s="417"/>
      <c r="J71" s="417"/>
    </row>
    <row r="72" spans="1:10" ht="13.2" x14ac:dyDescent="0.2">
      <c r="A72" s="409" t="s">
        <v>1383</v>
      </c>
      <c r="B72" s="211" t="s">
        <v>366</v>
      </c>
      <c r="C72" s="414" t="s">
        <v>1053</v>
      </c>
      <c r="D72" s="414" t="s">
        <v>1054</v>
      </c>
      <c r="E72" s="426">
        <f>IFERROR(VLOOKUP(C72,[4]Sheet1!$A:$C,3,FALSE),0)</f>
        <v>-5455615233</v>
      </c>
      <c r="F72" s="426">
        <v>-6683331278</v>
      </c>
      <c r="I72" s="417"/>
      <c r="J72" s="417"/>
    </row>
    <row r="73" spans="1:10" ht="13.2" x14ac:dyDescent="0.2">
      <c r="A73" s="409" t="s">
        <v>1383</v>
      </c>
      <c r="B73" s="211" t="s">
        <v>360</v>
      </c>
      <c r="C73" s="414" t="s">
        <v>1055</v>
      </c>
      <c r="D73" s="414" t="s">
        <v>1056</v>
      </c>
      <c r="E73" s="426">
        <f>IFERROR(VLOOKUP(C73,[4]Sheet1!$A:$C,3,FALSE),0)</f>
        <v>-62670183</v>
      </c>
      <c r="F73" s="426">
        <v>-200380617</v>
      </c>
      <c r="I73" s="417"/>
      <c r="J73" s="417"/>
    </row>
    <row r="74" spans="1:10" ht="13.2" x14ac:dyDescent="0.2">
      <c r="A74" s="409" t="s">
        <v>1383</v>
      </c>
      <c r="B74" s="211" t="s">
        <v>360</v>
      </c>
      <c r="C74" s="414" t="s">
        <v>1391</v>
      </c>
      <c r="D74" s="414" t="s">
        <v>1392</v>
      </c>
      <c r="E74" s="426">
        <f>IFERROR(VLOOKUP(C74,[4]Sheet1!$A:$C,3,FALSE),0)</f>
        <v>0</v>
      </c>
      <c r="F74" s="426">
        <v>0</v>
      </c>
      <c r="I74" s="417"/>
      <c r="J74" s="417"/>
    </row>
    <row r="75" spans="1:10" ht="13.2" x14ac:dyDescent="0.2">
      <c r="A75" s="409" t="s">
        <v>1383</v>
      </c>
      <c r="B75" s="211" t="s">
        <v>360</v>
      </c>
      <c r="C75" s="414" t="s">
        <v>1057</v>
      </c>
      <c r="D75" s="414" t="s">
        <v>1058</v>
      </c>
      <c r="E75" s="426">
        <f>IFERROR(VLOOKUP(C75,[4]Sheet1!$A:$C,3,FALSE),0)</f>
        <v>125</v>
      </c>
      <c r="F75" s="426">
        <v>5010396</v>
      </c>
      <c r="I75" s="417"/>
      <c r="J75" s="417"/>
    </row>
    <row r="76" spans="1:10" ht="13.2" x14ac:dyDescent="0.2">
      <c r="A76" s="409" t="s">
        <v>1383</v>
      </c>
      <c r="B76" s="211" t="s">
        <v>360</v>
      </c>
      <c r="C76" s="414" t="s">
        <v>1059</v>
      </c>
      <c r="D76" s="414" t="s">
        <v>1060</v>
      </c>
      <c r="E76" s="426">
        <f>IFERROR(VLOOKUP(C76,[4]Sheet1!$A:$C,3,FALSE),0)</f>
        <v>0</v>
      </c>
      <c r="F76" s="426">
        <v>-4375067</v>
      </c>
      <c r="I76" s="417"/>
      <c r="J76" s="417"/>
    </row>
    <row r="77" spans="1:10" ht="13.2" x14ac:dyDescent="0.2">
      <c r="A77" s="409" t="s">
        <v>1383</v>
      </c>
      <c r="B77" s="211" t="s">
        <v>367</v>
      </c>
      <c r="C77" s="414" t="s">
        <v>1061</v>
      </c>
      <c r="D77" s="414" t="s">
        <v>1393</v>
      </c>
      <c r="E77" s="426">
        <f>IFERROR(VLOOKUP(C77,[4]Sheet1!$A:$C,3,FALSE),0)</f>
        <v>-135096850</v>
      </c>
      <c r="F77" s="426">
        <v>-17887100</v>
      </c>
      <c r="I77" s="417"/>
      <c r="J77" s="417"/>
    </row>
    <row r="78" spans="1:10" ht="13.2" x14ac:dyDescent="0.2">
      <c r="A78" s="409" t="s">
        <v>1383</v>
      </c>
      <c r="B78" s="211" t="s">
        <v>367</v>
      </c>
      <c r="C78" s="414" t="s">
        <v>1063</v>
      </c>
      <c r="D78" s="414" t="s">
        <v>1064</v>
      </c>
      <c r="E78" s="426">
        <f>IFERROR(VLOOKUP(C78,[4]Sheet1!$A:$C,3,FALSE),0)</f>
        <v>-78858639</v>
      </c>
      <c r="F78" s="426">
        <v>-19830145</v>
      </c>
      <c r="I78" s="417"/>
      <c r="J78" s="417"/>
    </row>
    <row r="79" spans="1:10" ht="13.2" x14ac:dyDescent="0.2">
      <c r="A79" s="409" t="s">
        <v>1383</v>
      </c>
      <c r="B79" s="211" t="s">
        <v>367</v>
      </c>
      <c r="C79" s="414" t="s">
        <v>1551</v>
      </c>
      <c r="D79" s="414" t="s">
        <v>1064</v>
      </c>
      <c r="E79" s="426">
        <f>IFERROR(VLOOKUP(C79,[4]Sheet1!$A:$C,3,FALSE),0)</f>
        <v>-12953183</v>
      </c>
      <c r="F79" s="426">
        <v>0</v>
      </c>
      <c r="I79" s="417"/>
      <c r="J79" s="417"/>
    </row>
    <row r="80" spans="1:10" ht="13.2" x14ac:dyDescent="0.2">
      <c r="A80" s="409" t="s">
        <v>1394</v>
      </c>
      <c r="B80" s="211" t="s">
        <v>310</v>
      </c>
      <c r="C80" s="414" t="s">
        <v>1065</v>
      </c>
      <c r="D80" s="414" t="s">
        <v>1066</v>
      </c>
      <c r="E80" s="426">
        <f>IFERROR(VLOOKUP(C80,[4]Sheet1!$A:$C,3,FALSE),0)</f>
        <v>-12973362025</v>
      </c>
      <c r="F80" s="426">
        <v>-16372150911</v>
      </c>
      <c r="G80" s="426">
        <f>VLOOKUP(C80,[5]Hoja7!$B:$C,2,FALSE)</f>
        <v>-15504442242</v>
      </c>
      <c r="H80" s="426">
        <f>+F80-G80</f>
        <v>-867708669</v>
      </c>
      <c r="I80" s="417">
        <f>VLOOKUP(C80,[5]Hoja3!$A:$B,2,FALSE)</f>
        <v>16312408207</v>
      </c>
      <c r="J80" s="417">
        <f>+E80+I80</f>
        <v>3339046182</v>
      </c>
    </row>
    <row r="81" spans="1:10" ht="13.2" x14ac:dyDescent="0.2">
      <c r="A81" s="409" t="s">
        <v>1394</v>
      </c>
      <c r="B81" s="211" t="s">
        <v>310</v>
      </c>
      <c r="C81" s="414" t="s">
        <v>1067</v>
      </c>
      <c r="D81" s="414" t="s">
        <v>1068</v>
      </c>
      <c r="E81" s="426">
        <f>IFERROR(VLOOKUP(C81,[4]Sheet1!$A:$C,3,FALSE),0)</f>
        <v>-179469381</v>
      </c>
      <c r="F81" s="426">
        <v>-200564153</v>
      </c>
      <c r="G81" s="426">
        <f>VLOOKUP(C81,[5]Hoja7!$B:$C,2,FALSE)</f>
        <v>-149812633</v>
      </c>
      <c r="H81" s="426">
        <f t="shared" ref="H81:H141" si="4">+F81-G81</f>
        <v>-50751520</v>
      </c>
      <c r="I81" s="417">
        <f>VLOOKUP(C81,[5]Hoja3!$A:$B,2,FALSE)</f>
        <v>201271185</v>
      </c>
      <c r="J81" s="417">
        <f t="shared" ref="J81:J141" si="5">+E81+I81</f>
        <v>21801804</v>
      </c>
    </row>
    <row r="82" spans="1:10" ht="13.2" x14ac:dyDescent="0.2">
      <c r="A82" s="409" t="s">
        <v>1394</v>
      </c>
      <c r="B82" s="211" t="s">
        <v>310</v>
      </c>
      <c r="C82" s="414" t="s">
        <v>1069</v>
      </c>
      <c r="D82" s="414" t="s">
        <v>1070</v>
      </c>
      <c r="E82" s="426">
        <f>IFERROR(VLOOKUP(C82,[4]Sheet1!$A:$C,3,FALSE),0)</f>
        <v>-66874293</v>
      </c>
      <c r="F82" s="426">
        <v>-93961557</v>
      </c>
      <c r="G82" s="426">
        <f>VLOOKUP(C82,[5]Hoja7!$B:$C,2,FALSE)</f>
        <v>-88282012</v>
      </c>
      <c r="H82" s="426">
        <f t="shared" si="4"/>
        <v>-5679545</v>
      </c>
      <c r="I82" s="417">
        <f>VLOOKUP(C82,[5]Hoja3!$A:$B,2,FALSE)</f>
        <v>93961557</v>
      </c>
      <c r="J82" s="417">
        <f t="shared" si="5"/>
        <v>27087264</v>
      </c>
    </row>
    <row r="83" spans="1:10" ht="13.2" x14ac:dyDescent="0.2">
      <c r="A83" s="409" t="s">
        <v>1394</v>
      </c>
      <c r="B83" s="211" t="s">
        <v>310</v>
      </c>
      <c r="C83" s="414" t="s">
        <v>1071</v>
      </c>
      <c r="D83" s="414" t="s">
        <v>1072</v>
      </c>
      <c r="E83" s="426">
        <f>IFERROR(VLOOKUP(C83,[4]Sheet1!$A:$C,3,FALSE),0)</f>
        <v>-58303447</v>
      </c>
      <c r="F83" s="426">
        <v>-102903992</v>
      </c>
      <c r="G83" s="426">
        <f>VLOOKUP(C83,[5]Hoja7!$B:$C,2,FALSE)</f>
        <v>-133683117</v>
      </c>
      <c r="H83" s="426">
        <f t="shared" si="4"/>
        <v>30779125</v>
      </c>
      <c r="I83" s="417">
        <f>VLOOKUP(C83,[5]Hoja3!$A:$B,2,FALSE)</f>
        <v>102903992</v>
      </c>
      <c r="J83" s="417">
        <f t="shared" si="5"/>
        <v>44600545</v>
      </c>
    </row>
    <row r="84" spans="1:10" ht="13.2" x14ac:dyDescent="0.2">
      <c r="A84" s="409" t="s">
        <v>1394</v>
      </c>
      <c r="B84" s="211" t="s">
        <v>310</v>
      </c>
      <c r="C84" s="414" t="s">
        <v>1073</v>
      </c>
      <c r="D84" s="414" t="s">
        <v>1074</v>
      </c>
      <c r="E84" s="426">
        <f>IFERROR(VLOOKUP(C84,[4]Sheet1!$A:$C,3,FALSE),0)</f>
        <v>-578620652</v>
      </c>
      <c r="F84" s="426">
        <v>-760556849</v>
      </c>
      <c r="G84" s="426">
        <f>VLOOKUP(C84,[5]Hoja7!$B:$C,2,FALSE)</f>
        <v>-876351819</v>
      </c>
      <c r="H84" s="426">
        <f t="shared" si="4"/>
        <v>115794970</v>
      </c>
      <c r="I84" s="417">
        <f>VLOOKUP(C84,[5]Hoja3!$A:$B,2,FALSE)</f>
        <v>760556849</v>
      </c>
      <c r="J84" s="417">
        <f t="shared" si="5"/>
        <v>181936197</v>
      </c>
    </row>
    <row r="85" spans="1:10" ht="13.2" x14ac:dyDescent="0.2">
      <c r="A85" s="409" t="s">
        <v>1394</v>
      </c>
      <c r="B85" s="211" t="s">
        <v>310</v>
      </c>
      <c r="C85" s="414" t="s">
        <v>1075</v>
      </c>
      <c r="D85" s="414" t="s">
        <v>1076</v>
      </c>
      <c r="E85" s="426">
        <f>IFERROR(VLOOKUP(C85,[4]Sheet1!$A:$C,3,FALSE),0)</f>
        <v>-548614060</v>
      </c>
      <c r="F85" s="426">
        <v>-532755170</v>
      </c>
      <c r="G85" s="426">
        <f>VLOOKUP(C85,[5]Hoja7!$B:$C,2,FALSE)</f>
        <v>-181819826</v>
      </c>
      <c r="H85" s="426">
        <f t="shared" si="4"/>
        <v>-350935344</v>
      </c>
      <c r="I85" s="417">
        <f>VLOOKUP(C85,[5]Hoja3!$A:$B,2,FALSE)</f>
        <v>498825312</v>
      </c>
      <c r="J85" s="417">
        <f t="shared" si="5"/>
        <v>-49788748</v>
      </c>
    </row>
    <row r="86" spans="1:10" ht="13.2" x14ac:dyDescent="0.2">
      <c r="A86" s="409" t="s">
        <v>1394</v>
      </c>
      <c r="B86" s="211" t="s">
        <v>310</v>
      </c>
      <c r="C86" s="414" t="s">
        <v>1077</v>
      </c>
      <c r="D86" s="414" t="s">
        <v>1078</v>
      </c>
      <c r="E86" s="426">
        <f>IFERROR(VLOOKUP(C86,[4]Sheet1!$A:$C,3,FALSE),0)</f>
        <v>-1323551527</v>
      </c>
      <c r="F86" s="426">
        <v>-1500833675</v>
      </c>
      <c r="G86" s="426">
        <f>VLOOKUP(C86,[5]Hoja7!$B:$C,2,FALSE)</f>
        <v>-1394603733</v>
      </c>
      <c r="H86" s="426">
        <f t="shared" si="4"/>
        <v>-106229942</v>
      </c>
      <c r="I86" s="417">
        <f>VLOOKUP(C86,[5]Hoja3!$A:$B,2,FALSE)</f>
        <v>1500700848</v>
      </c>
      <c r="J86" s="417">
        <f t="shared" si="5"/>
        <v>177149321</v>
      </c>
    </row>
    <row r="87" spans="1:10" ht="13.2" x14ac:dyDescent="0.2">
      <c r="A87" s="409" t="s">
        <v>1394</v>
      </c>
      <c r="B87" s="211" t="s">
        <v>310</v>
      </c>
      <c r="C87" s="414" t="s">
        <v>1079</v>
      </c>
      <c r="D87" s="414" t="s">
        <v>1080</v>
      </c>
      <c r="E87" s="426">
        <f>IFERROR(VLOOKUP(C87,[4]Sheet1!$A:$C,3,FALSE),0)</f>
        <v>-92228283</v>
      </c>
      <c r="F87" s="426">
        <v>-150855748</v>
      </c>
      <c r="G87" s="426">
        <f>VLOOKUP(C87,[5]Hoja7!$B:$C,2,FALSE)</f>
        <v>-135020420</v>
      </c>
      <c r="H87" s="426">
        <f t="shared" si="4"/>
        <v>-15835328</v>
      </c>
      <c r="I87" s="417">
        <f>VLOOKUP(C87,[5]Hoja3!$A:$B,2,FALSE)</f>
        <v>150855748</v>
      </c>
      <c r="J87" s="417">
        <f t="shared" si="5"/>
        <v>58627465</v>
      </c>
    </row>
    <row r="88" spans="1:10" ht="13.2" x14ac:dyDescent="0.2">
      <c r="A88" s="409" t="s">
        <v>1394</v>
      </c>
      <c r="B88" s="211" t="s">
        <v>310</v>
      </c>
      <c r="C88" s="414" t="s">
        <v>1081</v>
      </c>
      <c r="D88" s="414" t="s">
        <v>1082</v>
      </c>
      <c r="E88" s="426">
        <f>IFERROR(VLOOKUP(C88,[4]Sheet1!$A:$C,3,FALSE),0)</f>
        <v>-103556330</v>
      </c>
      <c r="F88" s="426">
        <v>-92190278</v>
      </c>
      <c r="G88" s="426">
        <f>VLOOKUP(C88,[5]Hoja7!$B:$C,2,FALSE)</f>
        <v>-28044774</v>
      </c>
      <c r="H88" s="426">
        <f t="shared" si="4"/>
        <v>-64145504</v>
      </c>
      <c r="I88" s="417">
        <f>VLOOKUP(C88,[5]Hoja3!$A:$B,2,FALSE)</f>
        <v>92190278</v>
      </c>
      <c r="J88" s="417">
        <f t="shared" si="5"/>
        <v>-11366052</v>
      </c>
    </row>
    <row r="89" spans="1:10" ht="13.2" x14ac:dyDescent="0.2">
      <c r="A89" s="409" t="s">
        <v>1394</v>
      </c>
      <c r="B89" s="211" t="s">
        <v>310</v>
      </c>
      <c r="C89" s="414" t="s">
        <v>1083</v>
      </c>
      <c r="D89" s="414" t="s">
        <v>1084</v>
      </c>
      <c r="E89" s="426">
        <f>IFERROR(VLOOKUP(C89,[4]Sheet1!$A:$C,3,FALSE),0)</f>
        <v>-203600103</v>
      </c>
      <c r="F89" s="426">
        <v>-111995628</v>
      </c>
      <c r="G89" s="426">
        <f>VLOOKUP(C89,[5]Hoja7!$B:$C,2,FALSE)</f>
        <v>-183361800</v>
      </c>
      <c r="H89" s="426">
        <f t="shared" si="4"/>
        <v>71366172</v>
      </c>
      <c r="I89" s="417">
        <f>VLOOKUP(C89,[5]Hoja3!$A:$B,2,FALSE)</f>
        <v>111995628</v>
      </c>
      <c r="J89" s="417">
        <f t="shared" si="5"/>
        <v>-91604475</v>
      </c>
    </row>
    <row r="90" spans="1:10" ht="13.2" x14ac:dyDescent="0.2">
      <c r="A90" s="409" t="s">
        <v>1394</v>
      </c>
      <c r="B90" s="211" t="s">
        <v>310</v>
      </c>
      <c r="C90" s="414" t="s">
        <v>1085</v>
      </c>
      <c r="D90" s="414" t="s">
        <v>1086</v>
      </c>
      <c r="E90" s="426">
        <f>IFERROR(VLOOKUP(C90,[4]Sheet1!$A:$C,3,FALSE),0)</f>
        <v>-2439093737</v>
      </c>
      <c r="F90" s="426">
        <v>-3044024078</v>
      </c>
      <c r="G90" s="426">
        <f>VLOOKUP(C90,[5]Hoja7!$B:$C,2,FALSE)</f>
        <v>-2832068830</v>
      </c>
      <c r="H90" s="426">
        <f t="shared" si="4"/>
        <v>-211955248</v>
      </c>
      <c r="I90" s="417">
        <f>VLOOKUP(C90,[5]Hoja3!$A:$B,2,FALSE)</f>
        <v>3043133885</v>
      </c>
      <c r="J90" s="417">
        <f t="shared" si="5"/>
        <v>604040148</v>
      </c>
    </row>
    <row r="91" spans="1:10" ht="13.2" x14ac:dyDescent="0.2">
      <c r="A91" s="409" t="s">
        <v>1394</v>
      </c>
      <c r="B91" s="211" t="s">
        <v>310</v>
      </c>
      <c r="C91" s="414" t="s">
        <v>1087</v>
      </c>
      <c r="D91" s="414" t="s">
        <v>1088</v>
      </c>
      <c r="E91" s="426">
        <f>IFERROR(VLOOKUP(C91,[4]Sheet1!$A:$C,3,FALSE),0)</f>
        <v>-223359653</v>
      </c>
      <c r="F91" s="426">
        <v>-265132872</v>
      </c>
      <c r="G91" s="426">
        <f>VLOOKUP(C91,[5]Hoja7!$B:$C,2,FALSE)</f>
        <v>-224906318</v>
      </c>
      <c r="H91" s="426">
        <f t="shared" si="4"/>
        <v>-40226554</v>
      </c>
      <c r="I91" s="417">
        <f>VLOOKUP(C91,[5]Hoja3!$A:$B,2,FALSE)</f>
        <v>264903940</v>
      </c>
      <c r="J91" s="417">
        <f t="shared" si="5"/>
        <v>41544287</v>
      </c>
    </row>
    <row r="92" spans="1:10" ht="13.2" x14ac:dyDescent="0.2">
      <c r="A92" s="409" t="s">
        <v>1394</v>
      </c>
      <c r="B92" s="211" t="s">
        <v>310</v>
      </c>
      <c r="C92" s="414" t="s">
        <v>1089</v>
      </c>
      <c r="D92" s="414" t="s">
        <v>1090</v>
      </c>
      <c r="E92" s="426">
        <f>IFERROR(VLOOKUP(C92,[4]Sheet1!$A:$C,3,FALSE),0)</f>
        <v>-1049497780</v>
      </c>
      <c r="F92" s="426">
        <v>-1166561640</v>
      </c>
      <c r="G92" s="426">
        <f>VLOOKUP(C92,[5]Hoja7!$B:$C,2,FALSE)</f>
        <v>-1390992346</v>
      </c>
      <c r="H92" s="426">
        <f t="shared" si="4"/>
        <v>224430706</v>
      </c>
      <c r="I92" s="417">
        <f>VLOOKUP(C92,[5]Hoja3!$A:$B,2,FALSE)</f>
        <v>1166561640</v>
      </c>
      <c r="J92" s="417">
        <f t="shared" si="5"/>
        <v>117063860</v>
      </c>
    </row>
    <row r="93" spans="1:10" ht="13.2" x14ac:dyDescent="0.25">
      <c r="A93" s="409" t="s">
        <v>1394</v>
      </c>
      <c r="B93" s="28" t="s">
        <v>377</v>
      </c>
      <c r="C93" s="414" t="s">
        <v>1091</v>
      </c>
      <c r="D93" s="414" t="s">
        <v>1092</v>
      </c>
      <c r="E93" s="426">
        <f>IFERROR(VLOOKUP(C93,[4]Sheet1!$A:$C,3,FALSE),0)</f>
        <v>-99753398</v>
      </c>
      <c r="F93" s="426">
        <v>-162114032</v>
      </c>
      <c r="G93" s="426">
        <f>VLOOKUP(C93,[5]Hoja7!$B:$C,2,FALSE)</f>
        <v>-250562885</v>
      </c>
      <c r="H93" s="426">
        <f t="shared" si="4"/>
        <v>88448853</v>
      </c>
      <c r="I93" s="417">
        <f>VLOOKUP(C93,[5]Hoja3!$A:$B,2,FALSE)</f>
        <v>162114032</v>
      </c>
      <c r="J93" s="417">
        <f t="shared" si="5"/>
        <v>62360634</v>
      </c>
    </row>
    <row r="94" spans="1:10" ht="13.2" x14ac:dyDescent="0.25">
      <c r="A94" s="409" t="s">
        <v>1394</v>
      </c>
      <c r="B94" s="147" t="s">
        <v>379</v>
      </c>
      <c r="C94" s="414" t="s">
        <v>1093</v>
      </c>
      <c r="D94" s="414" t="s">
        <v>1094</v>
      </c>
      <c r="E94" s="426">
        <f>IFERROR(VLOOKUP(C94,[4]Sheet1!$A:$C,3,FALSE),0)</f>
        <v>-549545463</v>
      </c>
      <c r="F94" s="426">
        <v>-776818190</v>
      </c>
      <c r="G94" s="426">
        <f>VLOOKUP(C94,[5]Hoja7!$B:$C,2,FALSE)</f>
        <v>-667916666</v>
      </c>
      <c r="H94" s="426">
        <f t="shared" si="4"/>
        <v>-108901524</v>
      </c>
      <c r="I94" s="417">
        <f>VLOOKUP(C94,[5]Hoja3!$A:$B,2,FALSE)</f>
        <v>776818190</v>
      </c>
      <c r="J94" s="417">
        <f t="shared" si="5"/>
        <v>227272727</v>
      </c>
    </row>
    <row r="95" spans="1:10" ht="13.2" x14ac:dyDescent="0.25">
      <c r="A95" s="409" t="s">
        <v>1394</v>
      </c>
      <c r="B95" s="28" t="s">
        <v>377</v>
      </c>
      <c r="C95" s="414" t="s">
        <v>1095</v>
      </c>
      <c r="D95" s="414" t="s">
        <v>1096</v>
      </c>
      <c r="E95" s="426">
        <f>IFERROR(VLOOKUP(C95,[4]Sheet1!$A:$C,3,FALSE),0)</f>
        <v>-74172177</v>
      </c>
      <c r="F95" s="426">
        <v>-36093077</v>
      </c>
      <c r="G95" s="426">
        <f>VLOOKUP(C95,[5]Hoja7!$B:$C,2,FALSE)</f>
        <v>-55592803</v>
      </c>
      <c r="H95" s="426">
        <f t="shared" si="4"/>
        <v>19499726</v>
      </c>
      <c r="I95" s="417">
        <f>VLOOKUP(C95,[5]Hoja3!$A:$B,2,FALSE)</f>
        <v>36093077</v>
      </c>
      <c r="J95" s="417">
        <f t="shared" si="5"/>
        <v>-38079100</v>
      </c>
    </row>
    <row r="96" spans="1:10" ht="13.2" x14ac:dyDescent="0.25">
      <c r="A96" s="409" t="s">
        <v>1394</v>
      </c>
      <c r="B96" s="28" t="s">
        <v>377</v>
      </c>
      <c r="C96" s="414" t="s">
        <v>1097</v>
      </c>
      <c r="D96" s="414" t="s">
        <v>1098</v>
      </c>
      <c r="E96" s="426">
        <f>IFERROR(VLOOKUP(C96,[4]Sheet1!$A:$C,3,FALSE),0)</f>
        <v>-120484526</v>
      </c>
      <c r="F96" s="426">
        <v>-134066424</v>
      </c>
      <c r="G96" s="426">
        <f>VLOOKUP(C96,[5]Hoja7!$B:$C,2,FALSE)</f>
        <v>-121227256</v>
      </c>
      <c r="H96" s="426">
        <f t="shared" si="4"/>
        <v>-12839168</v>
      </c>
      <c r="I96" s="417">
        <f>VLOOKUP(C96,[5]Hoja3!$A:$B,2,FALSE)</f>
        <v>134066424</v>
      </c>
      <c r="J96" s="417">
        <f t="shared" si="5"/>
        <v>13581898</v>
      </c>
    </row>
    <row r="97" spans="1:10" ht="13.2" x14ac:dyDescent="0.25">
      <c r="A97" s="409" t="s">
        <v>1394</v>
      </c>
      <c r="B97" s="28" t="s">
        <v>377</v>
      </c>
      <c r="C97" s="414" t="s">
        <v>1099</v>
      </c>
      <c r="D97" s="414" t="s">
        <v>1100</v>
      </c>
      <c r="E97" s="426">
        <f>IFERROR(VLOOKUP(C97,[4]Sheet1!$A:$C,3,FALSE),0)</f>
        <v>-563920660</v>
      </c>
      <c r="F97" s="426">
        <v>-685048801</v>
      </c>
      <c r="G97" s="426">
        <f>VLOOKUP(C97,[5]Hoja7!$B:$C,2,FALSE)</f>
        <v>-598308604</v>
      </c>
      <c r="H97" s="426">
        <f t="shared" si="4"/>
        <v>-86740197</v>
      </c>
      <c r="I97" s="417">
        <f>VLOOKUP(C97,[5]Hoja3!$A:$B,2,FALSE)</f>
        <v>684573820</v>
      </c>
      <c r="J97" s="417">
        <f t="shared" si="5"/>
        <v>120653160</v>
      </c>
    </row>
    <row r="98" spans="1:10" ht="13.2" x14ac:dyDescent="0.25">
      <c r="A98" s="409" t="s">
        <v>1394</v>
      </c>
      <c r="B98" s="28" t="s">
        <v>377</v>
      </c>
      <c r="C98" s="414" t="s">
        <v>1101</v>
      </c>
      <c r="D98" s="414" t="s">
        <v>1102</v>
      </c>
      <c r="E98" s="426">
        <f>IFERROR(VLOOKUP(C98,[4]Sheet1!$A:$C,3,FALSE),0)</f>
        <v>-106093704</v>
      </c>
      <c r="F98" s="426">
        <v>-26989268</v>
      </c>
      <c r="G98" s="426">
        <f>VLOOKUP(C98,[5]Hoja7!$B:$C,2,FALSE)</f>
        <v>-16518380</v>
      </c>
      <c r="H98" s="426">
        <f t="shared" si="4"/>
        <v>-10470888</v>
      </c>
      <c r="I98" s="417">
        <f>VLOOKUP(C98,[5]Hoja3!$A:$B,2,FALSE)</f>
        <v>26989268</v>
      </c>
      <c r="J98" s="417">
        <f t="shared" si="5"/>
        <v>-79104436</v>
      </c>
    </row>
    <row r="99" spans="1:10" ht="13.2" x14ac:dyDescent="0.25">
      <c r="A99" s="409" t="s">
        <v>1394</v>
      </c>
      <c r="B99" s="28" t="s">
        <v>377</v>
      </c>
      <c r="C99" s="414" t="s">
        <v>1103</v>
      </c>
      <c r="D99" s="414" t="s">
        <v>1104</v>
      </c>
      <c r="E99" s="426">
        <f>IFERROR(VLOOKUP(C99,[4]Sheet1!$A:$C,3,FALSE),0)</f>
        <v>-104503302</v>
      </c>
      <c r="F99" s="426">
        <v>-34861885</v>
      </c>
      <c r="G99" s="426">
        <f>VLOOKUP(C99,[5]Hoja7!$B:$C,2,FALSE)</f>
        <v>-28186680</v>
      </c>
      <c r="H99" s="426">
        <f t="shared" si="4"/>
        <v>-6675205</v>
      </c>
      <c r="I99" s="417">
        <f>VLOOKUP(C99,[5]Hoja3!$A:$B,2,FALSE)</f>
        <v>34861885</v>
      </c>
      <c r="J99" s="417">
        <f t="shared" si="5"/>
        <v>-69641417</v>
      </c>
    </row>
    <row r="100" spans="1:10" ht="13.2" x14ac:dyDescent="0.25">
      <c r="A100" s="409" t="s">
        <v>1394</v>
      </c>
      <c r="B100" s="28" t="s">
        <v>377</v>
      </c>
      <c r="C100" s="414" t="s">
        <v>1105</v>
      </c>
      <c r="D100" s="414" t="s">
        <v>1106</v>
      </c>
      <c r="E100" s="426">
        <f>IFERROR(VLOOKUP(C100,[4]Sheet1!$A:$C,3,FALSE),0)</f>
        <v>-17854859</v>
      </c>
      <c r="F100" s="426">
        <v>-10580312</v>
      </c>
      <c r="G100" s="426">
        <f>VLOOKUP(C100,[5]Hoja7!$B:$C,2,FALSE)</f>
        <v>-9666327</v>
      </c>
      <c r="H100" s="426">
        <f t="shared" si="4"/>
        <v>-913985</v>
      </c>
      <c r="I100" s="417">
        <f>VLOOKUP(C100,[5]Hoja3!$A:$B,2,FALSE)</f>
        <v>10580312</v>
      </c>
      <c r="J100" s="417">
        <f t="shared" si="5"/>
        <v>-7274547</v>
      </c>
    </row>
    <row r="101" spans="1:10" ht="13.2" x14ac:dyDescent="0.25">
      <c r="A101" s="409" t="s">
        <v>1394</v>
      </c>
      <c r="B101" s="28" t="s">
        <v>377</v>
      </c>
      <c r="C101" s="414" t="s">
        <v>1107</v>
      </c>
      <c r="D101" s="414" t="s">
        <v>1108</v>
      </c>
      <c r="E101" s="426">
        <f>IFERROR(VLOOKUP(C101,[4]Sheet1!$A:$C,3,FALSE),0)</f>
        <v>-124464300</v>
      </c>
      <c r="F101" s="426">
        <v>-150383892</v>
      </c>
      <c r="G101" s="426">
        <f>VLOOKUP(C101,[5]Hoja7!$B:$C,2,FALSE)</f>
        <v>-177475927</v>
      </c>
      <c r="H101" s="426">
        <f t="shared" si="4"/>
        <v>27092035</v>
      </c>
      <c r="I101" s="417">
        <f>VLOOKUP(C101,[5]Hoja3!$A:$B,2,FALSE)</f>
        <v>149156054</v>
      </c>
      <c r="J101" s="417">
        <f t="shared" si="5"/>
        <v>24691754</v>
      </c>
    </row>
    <row r="102" spans="1:10" ht="13.2" x14ac:dyDescent="0.25">
      <c r="A102" s="409" t="s">
        <v>1394</v>
      </c>
      <c r="B102" s="28" t="s">
        <v>377</v>
      </c>
      <c r="C102" s="414" t="s">
        <v>1109</v>
      </c>
      <c r="D102" s="414" t="s">
        <v>1110</v>
      </c>
      <c r="E102" s="426">
        <f>IFERROR(VLOOKUP(C102,[4]Sheet1!$A:$C,3,FALSE),0)</f>
        <v>-21789307</v>
      </c>
      <c r="F102" s="426">
        <v>-15669945</v>
      </c>
      <c r="G102" s="426">
        <f>VLOOKUP(C102,[5]Hoja7!$B:$C,2,FALSE)</f>
        <v>-78750344</v>
      </c>
      <c r="H102" s="426">
        <f t="shared" si="4"/>
        <v>63080399</v>
      </c>
      <c r="I102" s="417">
        <f>VLOOKUP(C102,[5]Hoja3!$A:$B,2,FALSE)</f>
        <v>15669945</v>
      </c>
      <c r="J102" s="417">
        <f t="shared" si="5"/>
        <v>-6119362</v>
      </c>
    </row>
    <row r="103" spans="1:10" ht="13.2" x14ac:dyDescent="0.25">
      <c r="A103" s="409" t="s">
        <v>1394</v>
      </c>
      <c r="B103" s="28" t="s">
        <v>377</v>
      </c>
      <c r="C103" s="414" t="s">
        <v>1111</v>
      </c>
      <c r="D103" s="414" t="s">
        <v>1112</v>
      </c>
      <c r="E103" s="426">
        <f>IFERROR(VLOOKUP(C103,[4]Sheet1!$A:$C,3,FALSE),0)</f>
        <v>-47317912</v>
      </c>
      <c r="F103" s="426">
        <v>-117808964</v>
      </c>
      <c r="G103" s="426">
        <f>VLOOKUP(C103,[5]Hoja7!$B:$C,2,FALSE)</f>
        <v>-9469470</v>
      </c>
      <c r="H103" s="426">
        <f t="shared" si="4"/>
        <v>-108339494</v>
      </c>
      <c r="I103" s="417">
        <f>VLOOKUP(C103,[5]Hoja3!$A:$B,2,FALSE)</f>
        <v>117808964</v>
      </c>
      <c r="J103" s="417">
        <f t="shared" si="5"/>
        <v>70491052</v>
      </c>
    </row>
    <row r="104" spans="1:10" ht="13.2" x14ac:dyDescent="0.25">
      <c r="A104" s="409" t="s">
        <v>1394</v>
      </c>
      <c r="B104" s="147" t="s">
        <v>378</v>
      </c>
      <c r="C104" s="414" t="s">
        <v>1113</v>
      </c>
      <c r="D104" s="414" t="s">
        <v>1114</v>
      </c>
      <c r="E104" s="426">
        <f>IFERROR(VLOOKUP(C104,[4]Sheet1!$A:$C,3,FALSE),0)</f>
        <v>-93504845</v>
      </c>
      <c r="F104" s="426">
        <v>-119464855</v>
      </c>
      <c r="G104" s="426">
        <f>VLOOKUP(C104,[5]Hoja7!$B:$C,2,FALSE)</f>
        <v>-101260479</v>
      </c>
      <c r="H104" s="426">
        <f t="shared" si="4"/>
        <v>-18204376</v>
      </c>
      <c r="I104" s="417">
        <f>VLOOKUP(C104,[5]Hoja3!$A:$B,2,FALSE)</f>
        <v>119464855</v>
      </c>
      <c r="J104" s="417">
        <f t="shared" si="5"/>
        <v>25960010</v>
      </c>
    </row>
    <row r="105" spans="1:10" ht="13.2" x14ac:dyDescent="0.25">
      <c r="A105" s="409" t="s">
        <v>1394</v>
      </c>
      <c r="B105" s="147" t="s">
        <v>378</v>
      </c>
      <c r="C105" s="414" t="s">
        <v>1115</v>
      </c>
      <c r="D105" s="414" t="s">
        <v>1116</v>
      </c>
      <c r="E105" s="426">
        <f>IFERROR(VLOOKUP(C105,[4]Sheet1!$A:$C,3,FALSE),0)</f>
        <v>-341667801</v>
      </c>
      <c r="F105" s="426">
        <v>-142916720</v>
      </c>
      <c r="G105" s="426">
        <f>VLOOKUP(C105,[5]Hoja7!$B:$C,2,FALSE)</f>
        <v>-129918243</v>
      </c>
      <c r="H105" s="426">
        <f t="shared" si="4"/>
        <v>-12998477</v>
      </c>
      <c r="I105" s="417">
        <f>VLOOKUP(C105,[5]Hoja3!$A:$B,2,FALSE)</f>
        <v>142916720</v>
      </c>
      <c r="J105" s="417">
        <f t="shared" si="5"/>
        <v>-198751081</v>
      </c>
    </row>
    <row r="106" spans="1:10" ht="13.2" x14ac:dyDescent="0.25">
      <c r="A106" s="409" t="s">
        <v>1394</v>
      </c>
      <c r="B106" s="147" t="s">
        <v>378</v>
      </c>
      <c r="C106" s="414" t="s">
        <v>1117</v>
      </c>
      <c r="D106" s="414" t="s">
        <v>1118</v>
      </c>
      <c r="E106" s="426">
        <f>IFERROR(VLOOKUP(C106,[4]Sheet1!$A:$C,3,FALSE),0)</f>
        <v>-49243448</v>
      </c>
      <c r="F106" s="426">
        <v>-54722608</v>
      </c>
      <c r="G106" s="426">
        <f>VLOOKUP(C106,[5]Hoja7!$B:$C,2,FALSE)</f>
        <v>-48978810</v>
      </c>
      <c r="H106" s="426">
        <f t="shared" si="4"/>
        <v>-5743798</v>
      </c>
      <c r="I106" s="417">
        <f>VLOOKUP(C106,[5]Hoja3!$A:$B,2,FALSE)</f>
        <v>54722608</v>
      </c>
      <c r="J106" s="417">
        <f t="shared" si="5"/>
        <v>5479160</v>
      </c>
    </row>
    <row r="107" spans="1:10" ht="13.2" x14ac:dyDescent="0.25">
      <c r="A107" s="409" t="s">
        <v>1394</v>
      </c>
      <c r="B107" s="147" t="s">
        <v>378</v>
      </c>
      <c r="C107" s="414" t="s">
        <v>1119</v>
      </c>
      <c r="D107" s="414" t="s">
        <v>1120</v>
      </c>
      <c r="E107" s="426">
        <f>IFERROR(VLOOKUP(C107,[4]Sheet1!$A:$C,3,FALSE),0)</f>
        <v>-647670145</v>
      </c>
      <c r="F107" s="426">
        <v>-734468191</v>
      </c>
      <c r="G107" s="426">
        <f>VLOOKUP(C107,[5]Hoja7!$B:$C,2,FALSE)</f>
        <v>-712802860</v>
      </c>
      <c r="H107" s="426">
        <f t="shared" si="4"/>
        <v>-21665331</v>
      </c>
      <c r="I107" s="417">
        <f>VLOOKUP(C107,[5]Hoja3!$A:$B,2,FALSE)</f>
        <v>729571964</v>
      </c>
      <c r="J107" s="417">
        <f t="shared" si="5"/>
        <v>81901819</v>
      </c>
    </row>
    <row r="108" spans="1:10" ht="13.2" x14ac:dyDescent="0.25">
      <c r="A108" s="409" t="s">
        <v>1394</v>
      </c>
      <c r="B108" s="147" t="s">
        <v>378</v>
      </c>
      <c r="C108" s="414" t="s">
        <v>1121</v>
      </c>
      <c r="D108" s="414" t="s">
        <v>1122</v>
      </c>
      <c r="E108" s="426">
        <f>IFERROR(VLOOKUP(C108,[4]Sheet1!$A:$C,3,FALSE),0)</f>
        <v>-1649997</v>
      </c>
      <c r="F108" s="426">
        <v>-4400000</v>
      </c>
      <c r="G108" s="426">
        <f>VLOOKUP(C108,[5]Hoja7!$B:$C,2,FALSE)</f>
        <v>0</v>
      </c>
      <c r="H108" s="426">
        <f t="shared" si="4"/>
        <v>-4400000</v>
      </c>
      <c r="I108" s="417">
        <f>VLOOKUP(C108,[5]Hoja3!$A:$B,2,FALSE)</f>
        <v>4400000</v>
      </c>
      <c r="J108" s="417">
        <f t="shared" si="5"/>
        <v>2750003</v>
      </c>
    </row>
    <row r="109" spans="1:10" ht="13.2" x14ac:dyDescent="0.25">
      <c r="A109" s="409" t="s">
        <v>1394</v>
      </c>
      <c r="B109" s="147" t="s">
        <v>378</v>
      </c>
      <c r="C109" s="414" t="s">
        <v>1123</v>
      </c>
      <c r="D109" s="414" t="s">
        <v>1124</v>
      </c>
      <c r="E109" s="426">
        <f>IFERROR(VLOOKUP(C109,[4]Sheet1!$A:$C,3,FALSE),0)</f>
        <v>-66926763</v>
      </c>
      <c r="F109" s="426">
        <v>-95672677</v>
      </c>
      <c r="G109" s="426">
        <f>VLOOKUP(C109,[5]Hoja7!$B:$C,2,FALSE)</f>
        <v>-194709410</v>
      </c>
      <c r="H109" s="426">
        <f t="shared" si="4"/>
        <v>99036733</v>
      </c>
      <c r="I109" s="417">
        <f>VLOOKUP(C109,[5]Hoja3!$A:$B,2,FALSE)</f>
        <v>95672677</v>
      </c>
      <c r="J109" s="417">
        <f t="shared" si="5"/>
        <v>28745914</v>
      </c>
    </row>
    <row r="110" spans="1:10" ht="13.2" x14ac:dyDescent="0.25">
      <c r="A110" s="409" t="s">
        <v>1394</v>
      </c>
      <c r="B110" s="28" t="s">
        <v>377</v>
      </c>
      <c r="C110" s="414" t="s">
        <v>1125</v>
      </c>
      <c r="D110" s="414" t="s">
        <v>1126</v>
      </c>
      <c r="E110" s="426">
        <f>IFERROR(VLOOKUP(C110,[4]Sheet1!$A:$C,3,FALSE),0)</f>
        <v>0</v>
      </c>
      <c r="F110" s="426">
        <v>-22964024</v>
      </c>
      <c r="G110" s="426">
        <f>VLOOKUP(C110,[5]Hoja7!$B:$C,2,FALSE)</f>
        <v>-2358001</v>
      </c>
      <c r="H110" s="426">
        <f t="shared" si="4"/>
        <v>-20606023</v>
      </c>
      <c r="I110" s="417">
        <f>VLOOKUP(C110,[5]Hoja3!$A:$B,2,FALSE)</f>
        <v>22964024</v>
      </c>
      <c r="J110" s="417">
        <f t="shared" si="5"/>
        <v>22964024</v>
      </c>
    </row>
    <row r="111" spans="1:10" ht="13.2" x14ac:dyDescent="0.2">
      <c r="A111" s="409" t="s">
        <v>1394</v>
      </c>
      <c r="B111" s="211" t="s">
        <v>365</v>
      </c>
      <c r="C111" s="414" t="s">
        <v>1127</v>
      </c>
      <c r="D111" s="414" t="s">
        <v>365</v>
      </c>
      <c r="E111" s="426">
        <f>IFERROR(VLOOKUP(C111,[4]Sheet1!$A:$C,3,FALSE),0)</f>
        <v>-1574154193</v>
      </c>
      <c r="F111" s="426">
        <v>-2208805777</v>
      </c>
      <c r="G111" s="426">
        <f>VLOOKUP(C111,[5]Hoja7!$B:$C,2,FALSE)</f>
        <v>-1772523420</v>
      </c>
      <c r="H111" s="426">
        <f t="shared" si="4"/>
        <v>-436282357</v>
      </c>
      <c r="I111" s="417">
        <f>VLOOKUP(C111,[5]Hoja3!$A:$B,2,FALSE)</f>
        <v>2208805777</v>
      </c>
      <c r="J111" s="417">
        <f t="shared" si="5"/>
        <v>634651584</v>
      </c>
    </row>
    <row r="112" spans="1:10" ht="13.2" x14ac:dyDescent="0.25">
      <c r="A112" s="409" t="s">
        <v>1394</v>
      </c>
      <c r="B112" s="28" t="s">
        <v>377</v>
      </c>
      <c r="C112" s="414" t="s">
        <v>1128</v>
      </c>
      <c r="D112" s="414" t="s">
        <v>1129</v>
      </c>
      <c r="E112" s="426">
        <f>IFERROR(VLOOKUP(C112,[4]Sheet1!$A:$C,3,FALSE),0)</f>
        <v>-276465373</v>
      </c>
      <c r="F112" s="426">
        <v>-292086888</v>
      </c>
      <c r="G112" s="426">
        <f>VLOOKUP(C112,[5]Hoja7!$B:$C,2,FALSE)</f>
        <v>-288588749</v>
      </c>
      <c r="H112" s="426">
        <f t="shared" si="4"/>
        <v>-3498139</v>
      </c>
      <c r="I112" s="417">
        <f>VLOOKUP(C112,[5]Hoja3!$A:$B,2,FALSE)</f>
        <v>291721877</v>
      </c>
      <c r="J112" s="417">
        <f t="shared" si="5"/>
        <v>15256504</v>
      </c>
    </row>
    <row r="113" spans="1:10" ht="13.2" x14ac:dyDescent="0.25">
      <c r="A113" s="409" t="s">
        <v>1394</v>
      </c>
      <c r="B113" s="28" t="s">
        <v>377</v>
      </c>
      <c r="C113" s="414" t="s">
        <v>1130</v>
      </c>
      <c r="D113" s="414" t="s">
        <v>1131</v>
      </c>
      <c r="E113" s="426">
        <f>IFERROR(VLOOKUP(C113,[4]Sheet1!$A:$C,3,FALSE),0)</f>
        <v>-42582569</v>
      </c>
      <c r="F113" s="426">
        <v>-57795041</v>
      </c>
      <c r="G113" s="426">
        <f>VLOOKUP(C113,[5]Hoja7!$B:$C,2,FALSE)</f>
        <v>-46627708</v>
      </c>
      <c r="H113" s="426">
        <f t="shared" si="4"/>
        <v>-11167333</v>
      </c>
      <c r="I113" s="417">
        <f>VLOOKUP(C113,[5]Hoja3!$A:$B,2,FALSE)</f>
        <v>57795041</v>
      </c>
      <c r="J113" s="417">
        <f t="shared" si="5"/>
        <v>15212472</v>
      </c>
    </row>
    <row r="114" spans="1:10" ht="13.2" x14ac:dyDescent="0.25">
      <c r="A114" s="409" t="s">
        <v>1394</v>
      </c>
      <c r="B114" s="28" t="s">
        <v>377</v>
      </c>
      <c r="C114" s="414" t="s">
        <v>1132</v>
      </c>
      <c r="D114" s="414" t="s">
        <v>1133</v>
      </c>
      <c r="E114" s="426">
        <f>IFERROR(VLOOKUP(C114,[4]Sheet1!$A:$C,3,FALSE),0)</f>
        <v>-314299</v>
      </c>
      <c r="F114" s="426">
        <v>-608858</v>
      </c>
      <c r="G114" s="426">
        <f>VLOOKUP(C114,[5]Hoja7!$B:$C,2,FALSE)</f>
        <v>-297676</v>
      </c>
      <c r="H114" s="426">
        <f t="shared" si="4"/>
        <v>-311182</v>
      </c>
      <c r="I114" s="417">
        <f>VLOOKUP(C114,[5]Hoja3!$A:$B,2,FALSE)</f>
        <v>608858</v>
      </c>
      <c r="J114" s="417">
        <f t="shared" si="5"/>
        <v>294559</v>
      </c>
    </row>
    <row r="115" spans="1:10" ht="13.2" x14ac:dyDescent="0.2">
      <c r="A115" s="409" t="s">
        <v>1394</v>
      </c>
      <c r="B115" s="211" t="s">
        <v>362</v>
      </c>
      <c r="C115" s="414" t="s">
        <v>1134</v>
      </c>
      <c r="D115" s="414" t="s">
        <v>1135</v>
      </c>
      <c r="E115" s="426">
        <f>IFERROR(VLOOKUP(C115,[4]Sheet1!$A:$C,3,FALSE),0)</f>
        <v>-2643234660</v>
      </c>
      <c r="F115" s="426">
        <v>-3502645508</v>
      </c>
      <c r="G115" s="426">
        <f>VLOOKUP(C115,[5]Hoja7!$B:$C,2,FALSE)</f>
        <v>-3445225080</v>
      </c>
      <c r="H115" s="426">
        <f t="shared" si="4"/>
        <v>-57420428</v>
      </c>
      <c r="I115" s="417">
        <f>VLOOKUP(C115,[5]Hoja3!$A:$B,2,FALSE)</f>
        <v>3502645508</v>
      </c>
      <c r="J115" s="417">
        <f t="shared" si="5"/>
        <v>859410848</v>
      </c>
    </row>
    <row r="116" spans="1:10" ht="13.2" x14ac:dyDescent="0.25">
      <c r="A116" s="409" t="s">
        <v>1394</v>
      </c>
      <c r="B116" s="28" t="s">
        <v>377</v>
      </c>
      <c r="C116" s="414" t="s">
        <v>1136</v>
      </c>
      <c r="D116" s="414" t="s">
        <v>1137</v>
      </c>
      <c r="E116" s="426">
        <f>IFERROR(VLOOKUP(C116,[4]Sheet1!$A:$C,3,FALSE),0)</f>
        <v>-12857142</v>
      </c>
      <c r="F116" s="426">
        <v>-21428570</v>
      </c>
      <c r="G116" s="426">
        <f>VLOOKUP(C116,[5]Hoja7!$B:$C,2,FALSE)</f>
        <v>-17428575</v>
      </c>
      <c r="H116" s="426">
        <f t="shared" si="4"/>
        <v>-3999995</v>
      </c>
      <c r="I116" s="417">
        <f>VLOOKUP(C116,[5]Hoja3!$A:$B,2,FALSE)</f>
        <v>21428570</v>
      </c>
      <c r="J116" s="417">
        <f t="shared" si="5"/>
        <v>8571428</v>
      </c>
    </row>
    <row r="117" spans="1:10" ht="13.2" x14ac:dyDescent="0.25">
      <c r="A117" s="409" t="s">
        <v>1394</v>
      </c>
      <c r="B117" s="28" t="s">
        <v>377</v>
      </c>
      <c r="C117" s="414" t="s">
        <v>1138</v>
      </c>
      <c r="D117" s="414" t="s">
        <v>1139</v>
      </c>
      <c r="E117" s="426">
        <f>IFERROR(VLOOKUP(C117,[4]Sheet1!$A:$C,3,FALSE),0)</f>
        <v>-49531145</v>
      </c>
      <c r="F117" s="426">
        <v>-93052280</v>
      </c>
      <c r="G117" s="426">
        <f>VLOOKUP(C117,[5]Hoja7!$B:$C,2,FALSE)</f>
        <v>-159518184</v>
      </c>
      <c r="H117" s="426">
        <f t="shared" si="4"/>
        <v>66465904</v>
      </c>
      <c r="I117" s="417">
        <f>VLOOKUP(C117,[5]Hoja3!$A:$B,2,FALSE)</f>
        <v>93052280</v>
      </c>
      <c r="J117" s="417">
        <f t="shared" si="5"/>
        <v>43521135</v>
      </c>
    </row>
    <row r="118" spans="1:10" ht="13.2" x14ac:dyDescent="0.25">
      <c r="A118" s="409" t="s">
        <v>1394</v>
      </c>
      <c r="B118" s="28" t="s">
        <v>377</v>
      </c>
      <c r="C118" s="414" t="s">
        <v>1140</v>
      </c>
      <c r="D118" s="414" t="s">
        <v>1141</v>
      </c>
      <c r="E118" s="426">
        <f>IFERROR(VLOOKUP(C118,[4]Sheet1!$A:$C,3,FALSE),0)</f>
        <v>-173250632</v>
      </c>
      <c r="F118" s="426">
        <v>-89028194</v>
      </c>
      <c r="G118" s="426">
        <f>VLOOKUP(C118,[5]Hoja7!$B:$C,2,FALSE)</f>
        <v>-358866546</v>
      </c>
      <c r="H118" s="426">
        <f t="shared" si="4"/>
        <v>269838352</v>
      </c>
      <c r="I118" s="417">
        <f>VLOOKUP(C118,[5]Hoja3!$A:$B,2,FALSE)</f>
        <v>91587103</v>
      </c>
      <c r="J118" s="417">
        <f t="shared" si="5"/>
        <v>-81663529</v>
      </c>
    </row>
    <row r="119" spans="1:10" ht="13.2" x14ac:dyDescent="0.25">
      <c r="A119" s="409" t="s">
        <v>1394</v>
      </c>
      <c r="B119" s="28" t="s">
        <v>377</v>
      </c>
      <c r="C119" s="414" t="s">
        <v>1142</v>
      </c>
      <c r="D119" s="414" t="s">
        <v>1143</v>
      </c>
      <c r="E119" s="426">
        <f>IFERROR(VLOOKUP(C119,[4]Sheet1!$A:$C,3,FALSE),0)</f>
        <v>-1390912056</v>
      </c>
      <c r="F119" s="426">
        <v>-1870344692</v>
      </c>
      <c r="G119" s="426">
        <f>VLOOKUP(C119,[5]Hoja7!$B:$C,2,FALSE)</f>
        <v>-1533960420</v>
      </c>
      <c r="H119" s="426">
        <f t="shared" si="4"/>
        <v>-336384272</v>
      </c>
      <c r="I119" s="417">
        <f>VLOOKUP(C119,[5]Hoja3!$A:$B,2,FALSE)</f>
        <v>1870344692</v>
      </c>
      <c r="J119" s="417">
        <f t="shared" si="5"/>
        <v>479432636</v>
      </c>
    </row>
    <row r="120" spans="1:10" ht="13.2" x14ac:dyDescent="0.25">
      <c r="A120" s="409" t="s">
        <v>1394</v>
      </c>
      <c r="B120" s="28" t="s">
        <v>377</v>
      </c>
      <c r="C120" s="414" t="s">
        <v>1144</v>
      </c>
      <c r="D120" s="414" t="s">
        <v>1145</v>
      </c>
      <c r="E120" s="426">
        <f>IFERROR(VLOOKUP(C120,[4]Sheet1!$A:$C,3,FALSE),0)</f>
        <v>-144649334</v>
      </c>
      <c r="F120" s="426">
        <v>-177151565</v>
      </c>
      <c r="G120" s="426">
        <f>VLOOKUP(C120,[5]Hoja7!$B:$C,2,FALSE)</f>
        <v>-108817270</v>
      </c>
      <c r="H120" s="426">
        <f t="shared" si="4"/>
        <v>-68334295</v>
      </c>
      <c r="I120" s="417">
        <f>VLOOKUP(C120,[5]Hoja3!$A:$B,2,FALSE)</f>
        <v>177151565</v>
      </c>
      <c r="J120" s="417">
        <f t="shared" si="5"/>
        <v>32502231</v>
      </c>
    </row>
    <row r="121" spans="1:10" ht="13.2" x14ac:dyDescent="0.25">
      <c r="A121" s="409" t="s">
        <v>1394</v>
      </c>
      <c r="B121" s="147" t="s">
        <v>373</v>
      </c>
      <c r="C121" s="414" t="s">
        <v>1146</v>
      </c>
      <c r="D121" s="414" t="s">
        <v>1147</v>
      </c>
      <c r="E121" s="426">
        <f>IFERROR(VLOOKUP(C121,[4]Sheet1!$A:$C,3,FALSE),0)</f>
        <v>-408691635</v>
      </c>
      <c r="F121" s="426">
        <v>-375661382</v>
      </c>
      <c r="G121" s="426">
        <f>VLOOKUP(C121,[5]Hoja7!$B:$C,2,FALSE)</f>
        <v>-317615204</v>
      </c>
      <c r="H121" s="426">
        <f t="shared" si="4"/>
        <v>-58046178</v>
      </c>
      <c r="I121" s="417">
        <f>VLOOKUP(C121,[5]Hoja3!$A:$B,2,FALSE)</f>
        <v>375661382</v>
      </c>
      <c r="J121" s="417">
        <f t="shared" si="5"/>
        <v>-33030253</v>
      </c>
    </row>
    <row r="122" spans="1:10" ht="13.2" x14ac:dyDescent="0.25">
      <c r="A122" s="409" t="s">
        <v>1394</v>
      </c>
      <c r="B122" s="147" t="s">
        <v>373</v>
      </c>
      <c r="C122" s="414" t="s">
        <v>1148</v>
      </c>
      <c r="D122" s="414" t="s">
        <v>1149</v>
      </c>
      <c r="E122" s="426">
        <f>IFERROR(VLOOKUP(C122,[4]Sheet1!$A:$C,3,FALSE),0)</f>
        <v>0</v>
      </c>
      <c r="F122" s="426">
        <v>-41265899</v>
      </c>
      <c r="G122" s="426">
        <f>VLOOKUP(C122,[5]Hoja7!$B:$C,2,FALSE)</f>
        <v>-6090909</v>
      </c>
      <c r="H122" s="426">
        <f t="shared" si="4"/>
        <v>-35174990</v>
      </c>
      <c r="I122" s="417">
        <f>VLOOKUP(C122,[5]Hoja3!$A:$B,2,FALSE)</f>
        <v>41265899</v>
      </c>
      <c r="J122" s="417">
        <f t="shared" si="5"/>
        <v>41265899</v>
      </c>
    </row>
    <row r="123" spans="1:10" ht="13.2" x14ac:dyDescent="0.25">
      <c r="A123" s="409" t="s">
        <v>1394</v>
      </c>
      <c r="B123" s="147" t="s">
        <v>373</v>
      </c>
      <c r="C123" s="414" t="s">
        <v>1150</v>
      </c>
      <c r="D123" s="414" t="s">
        <v>1151</v>
      </c>
      <c r="E123" s="426">
        <f>IFERROR(VLOOKUP(C123,[4]Sheet1!$A:$C,3,FALSE),0)</f>
        <v>-8503410</v>
      </c>
      <c r="F123" s="426">
        <v>-16448287</v>
      </c>
      <c r="G123" s="426">
        <f>VLOOKUP(C123,[5]Hoja7!$B:$C,2,FALSE)</f>
        <v>-24836673</v>
      </c>
      <c r="H123" s="426">
        <f t="shared" si="4"/>
        <v>8388386</v>
      </c>
      <c r="I123" s="417">
        <f>VLOOKUP(C123,[5]Hoja3!$A:$B,2,FALSE)</f>
        <v>16448287</v>
      </c>
      <c r="J123" s="417">
        <f t="shared" si="5"/>
        <v>7944877</v>
      </c>
    </row>
    <row r="124" spans="1:10" ht="13.2" x14ac:dyDescent="0.25">
      <c r="A124" s="409" t="s">
        <v>1394</v>
      </c>
      <c r="B124" s="147" t="s">
        <v>373</v>
      </c>
      <c r="C124" s="414" t="s">
        <v>1152</v>
      </c>
      <c r="D124" s="414" t="s">
        <v>1153</v>
      </c>
      <c r="E124" s="426">
        <f>IFERROR(VLOOKUP(C124,[4]Sheet1!$A:$C,3,FALSE),0)</f>
        <v>-37828161</v>
      </c>
      <c r="F124" s="426">
        <v>-19770744</v>
      </c>
      <c r="G124" s="426">
        <f>VLOOKUP(C124,[5]Hoja7!$B:$C,2,FALSE)</f>
        <v>-67563122</v>
      </c>
      <c r="H124" s="426">
        <f t="shared" si="4"/>
        <v>47792378</v>
      </c>
      <c r="I124" s="417">
        <f>VLOOKUP(C124,[5]Hoja3!$A:$B,2,FALSE)</f>
        <v>19770744</v>
      </c>
      <c r="J124" s="417">
        <f t="shared" si="5"/>
        <v>-18057417</v>
      </c>
    </row>
    <row r="125" spans="1:10" ht="13.2" x14ac:dyDescent="0.25">
      <c r="A125" s="409" t="s">
        <v>1394</v>
      </c>
      <c r="B125" s="147" t="s">
        <v>373</v>
      </c>
      <c r="C125" s="414" t="s">
        <v>1552</v>
      </c>
      <c r="D125" s="414" t="s">
        <v>1553</v>
      </c>
      <c r="E125" s="426">
        <f>IFERROR(VLOOKUP(C125,[4]Sheet1!$A:$C,3,FALSE),0)</f>
        <v>-92727</v>
      </c>
      <c r="F125" s="426">
        <v>0</v>
      </c>
      <c r="G125" s="426" t="e">
        <f>VLOOKUP(C125,[5]Hoja7!$B:$C,2,FALSE)</f>
        <v>#N/A</v>
      </c>
      <c r="H125" s="426" t="e">
        <f t="shared" ref="H125" si="6">+F125-G125</f>
        <v>#N/A</v>
      </c>
      <c r="I125" s="417" t="e">
        <f>VLOOKUP(C125,[5]Hoja3!$A:$B,2,FALSE)</f>
        <v>#N/A</v>
      </c>
      <c r="J125" s="417" t="e">
        <f t="shared" ref="J125" si="7">+E125+I125</f>
        <v>#N/A</v>
      </c>
    </row>
    <row r="126" spans="1:10" ht="13.2" x14ac:dyDescent="0.25">
      <c r="A126" s="409" t="s">
        <v>1394</v>
      </c>
      <c r="B126" s="147" t="s">
        <v>373</v>
      </c>
      <c r="C126" s="414" t="s">
        <v>1154</v>
      </c>
      <c r="D126" s="414" t="s">
        <v>1155</v>
      </c>
      <c r="E126" s="426">
        <f>IFERROR(VLOOKUP(C126,[4]Sheet1!$A:$C,3,FALSE),0)</f>
        <v>-9802268</v>
      </c>
      <c r="F126" s="426">
        <v>-43349995</v>
      </c>
      <c r="G126" s="426">
        <f>VLOOKUP(C126,[5]Hoja7!$B:$C,2,FALSE)</f>
        <v>-12756819</v>
      </c>
      <c r="H126" s="426">
        <f t="shared" si="4"/>
        <v>-30593176</v>
      </c>
      <c r="I126" s="417">
        <f>VLOOKUP(C126,[5]Hoja3!$A:$B,2,FALSE)</f>
        <v>43349995</v>
      </c>
      <c r="J126" s="417">
        <f t="shared" si="5"/>
        <v>33547727</v>
      </c>
    </row>
    <row r="127" spans="1:10" ht="13.2" x14ac:dyDescent="0.25">
      <c r="A127" s="409" t="s">
        <v>1394</v>
      </c>
      <c r="B127" s="147" t="s">
        <v>373</v>
      </c>
      <c r="C127" s="414" t="s">
        <v>1156</v>
      </c>
      <c r="D127" s="414" t="s">
        <v>1157</v>
      </c>
      <c r="E127" s="426">
        <f>IFERROR(VLOOKUP(C127,[4]Sheet1!$A:$C,3,FALSE),0)</f>
        <v>-124330017</v>
      </c>
      <c r="F127" s="426">
        <v>-81923587</v>
      </c>
      <c r="G127" s="426">
        <f>VLOOKUP(C127,[5]Hoja7!$B:$C,2,FALSE)</f>
        <v>-46739128</v>
      </c>
      <c r="H127" s="426">
        <f t="shared" si="4"/>
        <v>-35184459</v>
      </c>
      <c r="I127" s="417">
        <f>VLOOKUP(C127,[5]Hoja3!$A:$B,2,FALSE)</f>
        <v>81923587</v>
      </c>
      <c r="J127" s="417">
        <f t="shared" si="5"/>
        <v>-42406430</v>
      </c>
    </row>
    <row r="128" spans="1:10" ht="13.2" x14ac:dyDescent="0.25">
      <c r="A128" s="409" t="s">
        <v>1394</v>
      </c>
      <c r="B128" s="147" t="s">
        <v>373</v>
      </c>
      <c r="C128" s="414" t="s">
        <v>1158</v>
      </c>
      <c r="D128" s="414" t="s">
        <v>1159</v>
      </c>
      <c r="E128" s="426">
        <f>IFERROR(VLOOKUP(C128,[4]Sheet1!$A:$C,3,FALSE),0)</f>
        <v>-4938090</v>
      </c>
      <c r="F128" s="426">
        <v>-113623143</v>
      </c>
      <c r="G128" s="426">
        <f>VLOOKUP(C128,[5]Hoja7!$B:$C,2,FALSE)</f>
        <v>-14240771</v>
      </c>
      <c r="H128" s="426">
        <f t="shared" si="4"/>
        <v>-99382372</v>
      </c>
      <c r="I128" s="417">
        <f>VLOOKUP(C128,[5]Hoja3!$A:$B,2,FALSE)</f>
        <v>113623143</v>
      </c>
      <c r="J128" s="417">
        <f t="shared" si="5"/>
        <v>108685053</v>
      </c>
    </row>
    <row r="129" spans="1:10" ht="13.2" x14ac:dyDescent="0.25">
      <c r="A129" s="409" t="s">
        <v>1394</v>
      </c>
      <c r="B129" s="147" t="s">
        <v>373</v>
      </c>
      <c r="C129" s="414" t="s">
        <v>1160</v>
      </c>
      <c r="D129" s="414" t="s">
        <v>1161</v>
      </c>
      <c r="E129" s="426">
        <f>IFERROR(VLOOKUP(C129,[4]Sheet1!$A:$C,3,FALSE),0)</f>
        <v>-5347687</v>
      </c>
      <c r="F129" s="426">
        <v>-2005111</v>
      </c>
      <c r="G129" s="426">
        <f>VLOOKUP(C129,[5]Hoja7!$B:$C,2,FALSE)</f>
        <v>-1236517</v>
      </c>
      <c r="H129" s="426">
        <f t="shared" si="4"/>
        <v>-768594</v>
      </c>
      <c r="I129" s="417">
        <f>VLOOKUP(C129,[5]Hoja3!$A:$B,2,FALSE)</f>
        <v>2005111</v>
      </c>
      <c r="J129" s="417">
        <f t="shared" si="5"/>
        <v>-3342576</v>
      </c>
    </row>
    <row r="130" spans="1:10" ht="13.2" x14ac:dyDescent="0.25">
      <c r="A130" s="409" t="s">
        <v>1394</v>
      </c>
      <c r="B130" s="147" t="s">
        <v>373</v>
      </c>
      <c r="C130" s="414" t="s">
        <v>1396</v>
      </c>
      <c r="D130" s="414" t="s">
        <v>1397</v>
      </c>
      <c r="E130" s="426">
        <f>IFERROR(VLOOKUP(C130,[4]Sheet1!$A:$C,3,FALSE),0)</f>
        <v>-54545</v>
      </c>
      <c r="F130" s="426">
        <v>0</v>
      </c>
      <c r="G130" s="426">
        <f>VLOOKUP(C130,[5]Hoja7!$B:$C,2,FALSE)</f>
        <v>-8156</v>
      </c>
      <c r="H130" s="426">
        <f t="shared" si="4"/>
        <v>8156</v>
      </c>
      <c r="I130" s="417">
        <f>VLOOKUP(C130,[5]Hoja3!$A:$B,2,FALSE)</f>
        <v>0</v>
      </c>
      <c r="J130" s="417">
        <f t="shared" si="5"/>
        <v>-54545</v>
      </c>
    </row>
    <row r="131" spans="1:10" ht="13.2" x14ac:dyDescent="0.25">
      <c r="A131" s="409" t="s">
        <v>1394</v>
      </c>
      <c r="B131" s="147" t="s">
        <v>374</v>
      </c>
      <c r="C131" s="414" t="s">
        <v>1162</v>
      </c>
      <c r="D131" s="414" t="s">
        <v>1163</v>
      </c>
      <c r="E131" s="426">
        <f>IFERROR(VLOOKUP(C131,[4]Sheet1!$A:$C,3,FALSE),0)</f>
        <v>-175539547</v>
      </c>
      <c r="F131" s="426">
        <v>-188513923</v>
      </c>
      <c r="G131" s="426">
        <f>VLOOKUP(C131,[5]Hoja7!$B:$C,2,FALSE)</f>
        <v>-150243903</v>
      </c>
      <c r="H131" s="426">
        <f t="shared" si="4"/>
        <v>-38270020</v>
      </c>
      <c r="I131" s="417">
        <f>VLOOKUP(C131,[5]Hoja3!$A:$B,2,FALSE)</f>
        <v>188513923</v>
      </c>
      <c r="J131" s="417">
        <f t="shared" si="5"/>
        <v>12974376</v>
      </c>
    </row>
    <row r="132" spans="1:10" x14ac:dyDescent="0.2">
      <c r="A132" s="409" t="s">
        <v>1394</v>
      </c>
      <c r="B132" s="409" t="s">
        <v>373</v>
      </c>
      <c r="C132" s="414" t="s">
        <v>1164</v>
      </c>
      <c r="D132" s="414" t="s">
        <v>1165</v>
      </c>
      <c r="E132" s="426">
        <f>IFERROR(VLOOKUP(C132,[4]Sheet1!$A:$C,3,FALSE),0)</f>
        <v>-724531</v>
      </c>
      <c r="F132" s="426">
        <v>-1277546</v>
      </c>
      <c r="G132" s="426">
        <f>VLOOKUP(C132,[5]Hoja7!$B:$C,2,FALSE)</f>
        <v>-12644168</v>
      </c>
      <c r="H132" s="426">
        <f t="shared" si="4"/>
        <v>11366622</v>
      </c>
      <c r="I132" s="417">
        <f>VLOOKUP(C132,[5]Hoja3!$A:$B,2,FALSE)</f>
        <v>1277546</v>
      </c>
      <c r="J132" s="417">
        <f t="shared" si="5"/>
        <v>553015</v>
      </c>
    </row>
    <row r="133" spans="1:10" ht="13.2" x14ac:dyDescent="0.25">
      <c r="B133" s="147" t="s">
        <v>372</v>
      </c>
      <c r="C133" s="414" t="s">
        <v>1488</v>
      </c>
      <c r="D133" s="414" t="s">
        <v>1489</v>
      </c>
      <c r="E133" s="426">
        <f>IFERROR(VLOOKUP(C133,[4]Sheet1!$A:$C,3,FALSE),0)</f>
        <v>-6537273</v>
      </c>
      <c r="F133" s="426">
        <v>-1277546</v>
      </c>
      <c r="G133" s="426">
        <v>0</v>
      </c>
      <c r="H133" s="426">
        <v>0</v>
      </c>
      <c r="I133" s="426">
        <v>0</v>
      </c>
      <c r="J133" s="426">
        <v>0</v>
      </c>
    </row>
    <row r="134" spans="1:10" ht="13.2" x14ac:dyDescent="0.25">
      <c r="A134" s="409" t="s">
        <v>1394</v>
      </c>
      <c r="B134" s="28" t="s">
        <v>377</v>
      </c>
      <c r="C134" s="414" t="s">
        <v>1166</v>
      </c>
      <c r="D134" s="414" t="s">
        <v>1167</v>
      </c>
      <c r="E134" s="426">
        <f>IFERROR(VLOOKUP(C134,[4]Sheet1!$A:$C,3,FALSE),0)</f>
        <v>-62102266</v>
      </c>
      <c r="F134" s="426">
        <v>-66344230</v>
      </c>
      <c r="G134" s="426">
        <f>VLOOKUP(C134,[5]Hoja7!$B:$C,2,FALSE)</f>
        <v>-66418192</v>
      </c>
      <c r="H134" s="426">
        <f t="shared" si="4"/>
        <v>73962</v>
      </c>
      <c r="I134" s="417">
        <f>VLOOKUP(C134,[5]Hoja3!$A:$B,2,FALSE)</f>
        <v>66344230</v>
      </c>
      <c r="J134" s="417">
        <f t="shared" si="5"/>
        <v>4241964</v>
      </c>
    </row>
    <row r="135" spans="1:10" ht="13.2" x14ac:dyDescent="0.25">
      <c r="A135" s="409" t="s">
        <v>1394</v>
      </c>
      <c r="B135" s="28" t="s">
        <v>377</v>
      </c>
      <c r="C135" s="414" t="s">
        <v>1168</v>
      </c>
      <c r="D135" s="414" t="s">
        <v>1169</v>
      </c>
      <c r="E135" s="426">
        <f>IFERROR(VLOOKUP(C135,[4]Sheet1!$A:$C,3,FALSE),0)</f>
        <v>-170193329</v>
      </c>
      <c r="F135" s="426">
        <v>-170735491</v>
      </c>
      <c r="G135" s="426">
        <f>VLOOKUP(C135,[5]Hoja7!$B:$C,2,FALSE)</f>
        <v>-176463650</v>
      </c>
      <c r="H135" s="426">
        <f t="shared" si="4"/>
        <v>5728159</v>
      </c>
      <c r="I135" s="417">
        <f>VLOOKUP(C135,[5]Hoja3!$A:$B,2,FALSE)</f>
        <v>170735491</v>
      </c>
      <c r="J135" s="417">
        <f t="shared" si="5"/>
        <v>542162</v>
      </c>
    </row>
    <row r="136" spans="1:10" ht="13.2" x14ac:dyDescent="0.25">
      <c r="A136" s="409" t="s">
        <v>1394</v>
      </c>
      <c r="B136" s="28" t="s">
        <v>377</v>
      </c>
      <c r="C136" s="414" t="s">
        <v>1170</v>
      </c>
      <c r="D136" s="414" t="s">
        <v>1171</v>
      </c>
      <c r="E136" s="426">
        <f>IFERROR(VLOOKUP(C136,[4]Sheet1!$A:$C,3,FALSE),0)</f>
        <v>-66855904</v>
      </c>
      <c r="F136" s="426">
        <v>-55094517</v>
      </c>
      <c r="G136" s="426">
        <f>VLOOKUP(C136,[5]Hoja7!$B:$C,2,FALSE)</f>
        <v>-63104186</v>
      </c>
      <c r="H136" s="426">
        <f t="shared" si="4"/>
        <v>8009669</v>
      </c>
      <c r="I136" s="417">
        <f>VLOOKUP(C136,[5]Hoja3!$A:$B,2,FALSE)</f>
        <v>55094517</v>
      </c>
      <c r="J136" s="417">
        <f t="shared" si="5"/>
        <v>-11761387</v>
      </c>
    </row>
    <row r="137" spans="1:10" ht="13.2" x14ac:dyDescent="0.25">
      <c r="A137" s="409" t="s">
        <v>1394</v>
      </c>
      <c r="B137" s="28" t="s">
        <v>377</v>
      </c>
      <c r="C137" s="414" t="s">
        <v>1172</v>
      </c>
      <c r="D137" s="414" t="s">
        <v>1173</v>
      </c>
      <c r="E137" s="426">
        <f>IFERROR(VLOOKUP(C137,[4]Sheet1!$A:$C,3,FALSE),0)</f>
        <v>-9024552</v>
      </c>
      <c r="F137" s="426">
        <v>-11118192</v>
      </c>
      <c r="G137" s="426">
        <f>VLOOKUP(C137,[5]Hoja7!$B:$C,2,FALSE)</f>
        <v>-13354528</v>
      </c>
      <c r="H137" s="426">
        <f t="shared" si="4"/>
        <v>2236336</v>
      </c>
      <c r="I137" s="417">
        <f>VLOOKUP(C137,[5]Hoja3!$A:$B,2,FALSE)</f>
        <v>11118192</v>
      </c>
      <c r="J137" s="417">
        <f t="shared" si="5"/>
        <v>2093640</v>
      </c>
    </row>
    <row r="138" spans="1:10" ht="13.2" x14ac:dyDescent="0.25">
      <c r="A138" s="409" t="s">
        <v>1394</v>
      </c>
      <c r="B138" s="28" t="s">
        <v>377</v>
      </c>
      <c r="C138" s="414" t="s">
        <v>1174</v>
      </c>
      <c r="D138" s="414" t="s">
        <v>1175</v>
      </c>
      <c r="E138" s="426">
        <f>IFERROR(VLOOKUP(C138,[4]Sheet1!$A:$C,3,FALSE),0)</f>
        <v>-361345259</v>
      </c>
      <c r="F138" s="426">
        <v>-204041401</v>
      </c>
      <c r="G138" s="426">
        <f>VLOOKUP(C138,[5]Hoja7!$B:$C,2,FALSE)</f>
        <v>-338890340</v>
      </c>
      <c r="H138" s="426">
        <f t="shared" si="4"/>
        <v>134848939</v>
      </c>
      <c r="I138" s="417">
        <f>VLOOKUP(C138,[5]Hoja3!$A:$B,2,FALSE)</f>
        <v>204041401</v>
      </c>
      <c r="J138" s="417">
        <f t="shared" si="5"/>
        <v>-157303858</v>
      </c>
    </row>
    <row r="139" spans="1:10" ht="13.2" x14ac:dyDescent="0.25">
      <c r="A139" s="409" t="s">
        <v>1394</v>
      </c>
      <c r="B139" s="28" t="s">
        <v>377</v>
      </c>
      <c r="C139" s="414" t="s">
        <v>1176</v>
      </c>
      <c r="D139" s="414" t="s">
        <v>1177</v>
      </c>
      <c r="E139" s="426">
        <f>IFERROR(VLOOKUP(C139,[4]Sheet1!$A:$C,3,FALSE),0)</f>
        <v>-156852772</v>
      </c>
      <c r="F139" s="426">
        <v>-272344657</v>
      </c>
      <c r="G139" s="426">
        <f>VLOOKUP(C139,[5]Hoja7!$B:$C,2,FALSE)</f>
        <v>-247723085</v>
      </c>
      <c r="H139" s="426">
        <f t="shared" si="4"/>
        <v>-24621572</v>
      </c>
      <c r="I139" s="417">
        <f>VLOOKUP(C139,[5]Hoja3!$A:$B,2,FALSE)</f>
        <v>274078702</v>
      </c>
      <c r="J139" s="417">
        <f t="shared" si="5"/>
        <v>117225930</v>
      </c>
    </row>
    <row r="140" spans="1:10" ht="13.2" x14ac:dyDescent="0.25">
      <c r="A140" s="409" t="s">
        <v>1394</v>
      </c>
      <c r="B140" s="28" t="s">
        <v>377</v>
      </c>
      <c r="C140" s="414" t="s">
        <v>1178</v>
      </c>
      <c r="D140" s="414" t="s">
        <v>1179</v>
      </c>
      <c r="E140" s="426">
        <f>IFERROR(VLOOKUP(C140,[4]Sheet1!$A:$C,3,FALSE),0)</f>
        <v>-640907621</v>
      </c>
      <c r="F140" s="426">
        <v>-1087287007</v>
      </c>
      <c r="G140" s="426">
        <f>VLOOKUP(C140,[5]Hoja7!$B:$C,2,FALSE)</f>
        <v>-717354009</v>
      </c>
      <c r="H140" s="426">
        <f t="shared" si="4"/>
        <v>-369932998</v>
      </c>
      <c r="I140" s="417">
        <f>VLOOKUP(C140,[5]Hoja3!$A:$B,2,FALSE)</f>
        <v>1088874741</v>
      </c>
      <c r="J140" s="417">
        <f t="shared" si="5"/>
        <v>447967120</v>
      </c>
    </row>
    <row r="141" spans="1:10" ht="13.2" x14ac:dyDescent="0.25">
      <c r="A141" s="409" t="s">
        <v>1394</v>
      </c>
      <c r="B141" s="28" t="s">
        <v>377</v>
      </c>
      <c r="C141" s="414" t="s">
        <v>1180</v>
      </c>
      <c r="D141" s="414" t="s">
        <v>1181</v>
      </c>
      <c r="E141" s="426">
        <f>IFERROR(VLOOKUP(C141,[4]Sheet1!$A:$C,3,FALSE),0)</f>
        <v>-39194577</v>
      </c>
      <c r="F141" s="426">
        <v>-116214215</v>
      </c>
      <c r="G141" s="426">
        <f>VLOOKUP(C141,[5]Hoja7!$B:$C,2,FALSE)</f>
        <v>-75464369</v>
      </c>
      <c r="H141" s="426">
        <f t="shared" si="4"/>
        <v>-40749846</v>
      </c>
      <c r="I141" s="417">
        <f>VLOOKUP(C141,[5]Hoja3!$A:$B,2,FALSE)</f>
        <v>111268142</v>
      </c>
      <c r="J141" s="417">
        <f t="shared" si="5"/>
        <v>72073565</v>
      </c>
    </row>
    <row r="142" spans="1:10" ht="13.2" x14ac:dyDescent="0.2">
      <c r="A142" s="409" t="s">
        <v>1383</v>
      </c>
      <c r="B142" s="211" t="s">
        <v>355</v>
      </c>
      <c r="C142" s="414" t="s">
        <v>1182</v>
      </c>
      <c r="D142" s="414" t="s">
        <v>1183</v>
      </c>
      <c r="E142" s="426">
        <f>IFERROR(VLOOKUP(C142,[4]Sheet1!$A:$C,3,FALSE),0)</f>
        <v>-6540802454</v>
      </c>
      <c r="F142" s="426">
        <v>-3406087841</v>
      </c>
    </row>
    <row r="143" spans="1:10" ht="13.2" x14ac:dyDescent="0.2">
      <c r="A143" s="409" t="s">
        <v>1394</v>
      </c>
      <c r="B143" s="211" t="s">
        <v>363</v>
      </c>
      <c r="C143" s="414" t="s">
        <v>1184</v>
      </c>
      <c r="D143" s="414" t="s">
        <v>1185</v>
      </c>
      <c r="E143" s="426">
        <f>IFERROR(VLOOKUP(C143,[4]Sheet1!$A:$C,3,FALSE),0)</f>
        <v>-131345831</v>
      </c>
      <c r="F143" s="426">
        <v>-126536280</v>
      </c>
      <c r="G143" s="426">
        <f>VLOOKUP(C143,[5]Hoja7!$B:$C,2,FALSE)</f>
        <v>-488044417</v>
      </c>
      <c r="H143" s="426">
        <f t="shared" ref="H143:H185" si="8">+F143-G143</f>
        <v>361508137</v>
      </c>
      <c r="I143" s="417">
        <f>VLOOKUP(C143,[5]Hoja3!$A:$B,2,FALSE)</f>
        <v>126536280</v>
      </c>
      <c r="J143" s="417">
        <f t="shared" ref="J143:J185" si="9">+E143+I143</f>
        <v>-4809551</v>
      </c>
    </row>
    <row r="144" spans="1:10" ht="13.2" x14ac:dyDescent="0.2">
      <c r="A144" s="409" t="s">
        <v>1394</v>
      </c>
      <c r="B144" s="211" t="s">
        <v>363</v>
      </c>
      <c r="C144" s="414" t="s">
        <v>1186</v>
      </c>
      <c r="D144" s="414" t="s">
        <v>1187</v>
      </c>
      <c r="E144" s="426">
        <f>IFERROR(VLOOKUP(C144,[4]Sheet1!$A:$C,3,FALSE),0)</f>
        <v>-842257603</v>
      </c>
      <c r="F144" s="426">
        <v>-676258805</v>
      </c>
      <c r="G144" s="426">
        <f>VLOOKUP(C144,[5]Hoja7!$B:$C,2,FALSE)</f>
        <v>-353652779</v>
      </c>
      <c r="H144" s="426">
        <f t="shared" si="8"/>
        <v>-322606026</v>
      </c>
      <c r="I144" s="417">
        <f>VLOOKUP(C144,[5]Hoja3!$A:$B,2,FALSE)</f>
        <v>662118389</v>
      </c>
      <c r="J144" s="417">
        <f t="shared" si="9"/>
        <v>-180139214</v>
      </c>
    </row>
    <row r="145" spans="1:10" ht="13.2" x14ac:dyDescent="0.2">
      <c r="A145" s="409" t="s">
        <v>1394</v>
      </c>
      <c r="B145" s="211" t="s">
        <v>363</v>
      </c>
      <c r="C145" s="414" t="s">
        <v>1188</v>
      </c>
      <c r="D145" s="414" t="s">
        <v>291</v>
      </c>
      <c r="E145" s="426">
        <f>IFERROR(VLOOKUP(C145,[4]Sheet1!$A:$C,3,FALSE),0)</f>
        <v>-101255026</v>
      </c>
      <c r="F145" s="426">
        <v>-25361520</v>
      </c>
      <c r="G145" s="426">
        <f>VLOOKUP(C145,[5]Hoja7!$B:$C,2,FALSE)</f>
        <v>-53737345</v>
      </c>
      <c r="H145" s="426">
        <f t="shared" si="8"/>
        <v>28375825</v>
      </c>
      <c r="I145" s="417">
        <f>VLOOKUP(C145,[5]Hoja3!$A:$B,2,FALSE)</f>
        <v>25361520</v>
      </c>
      <c r="J145" s="417">
        <f t="shared" si="9"/>
        <v>-75893506</v>
      </c>
    </row>
    <row r="146" spans="1:10" ht="13.2" x14ac:dyDescent="0.2">
      <c r="A146" s="409" t="s">
        <v>1394</v>
      </c>
      <c r="B146" s="211" t="s">
        <v>363</v>
      </c>
      <c r="C146" s="414" t="s">
        <v>1189</v>
      </c>
      <c r="D146" s="414" t="s">
        <v>1190</v>
      </c>
      <c r="E146" s="426">
        <f>IFERROR(VLOOKUP(C146,[4]Sheet1!$A:$C,3,FALSE),0)</f>
        <v>-62418405</v>
      </c>
      <c r="F146" s="426">
        <v>-45589151</v>
      </c>
      <c r="G146" s="426">
        <f>VLOOKUP(C146,[5]Hoja7!$B:$C,2,FALSE)</f>
        <v>-36364</v>
      </c>
      <c r="H146" s="426">
        <f t="shared" si="8"/>
        <v>-45552787</v>
      </c>
      <c r="I146" s="417">
        <f>VLOOKUP(C146,[5]Hoja3!$A:$B,2,FALSE)</f>
        <v>45589151</v>
      </c>
      <c r="J146" s="417">
        <f t="shared" si="9"/>
        <v>-16829254</v>
      </c>
    </row>
    <row r="147" spans="1:10" ht="13.2" x14ac:dyDescent="0.25">
      <c r="A147" s="409" t="s">
        <v>1394</v>
      </c>
      <c r="B147" s="28" t="s">
        <v>377</v>
      </c>
      <c r="C147" s="414" t="s">
        <v>1191</v>
      </c>
      <c r="D147" s="414" t="s">
        <v>1192</v>
      </c>
      <c r="E147" s="426">
        <f>IFERROR(VLOOKUP(C147,[4]Sheet1!$A:$C,3,FALSE),0)</f>
        <v>-121694863</v>
      </c>
      <c r="F147" s="426">
        <v>-118012048</v>
      </c>
      <c r="G147" s="426">
        <f>VLOOKUP(C147,[5]Hoja7!$B:$C,2,FALSE)</f>
        <v>-13897182</v>
      </c>
      <c r="H147" s="426">
        <f t="shared" si="8"/>
        <v>-104114866</v>
      </c>
      <c r="I147" s="417">
        <f>VLOOKUP(C147,[5]Hoja3!$A:$B,2,FALSE)</f>
        <v>114909462</v>
      </c>
      <c r="J147" s="417">
        <f t="shared" si="9"/>
        <v>-6785401</v>
      </c>
    </row>
    <row r="148" spans="1:10" ht="13.2" x14ac:dyDescent="0.25">
      <c r="A148" s="409" t="s">
        <v>1394</v>
      </c>
      <c r="B148" s="28" t="s">
        <v>377</v>
      </c>
      <c r="C148" s="414" t="s">
        <v>1193</v>
      </c>
      <c r="D148" s="414" t="s">
        <v>1194</v>
      </c>
      <c r="E148" s="426">
        <f>IFERROR(VLOOKUP(C148,[4]Sheet1!$A:$C,3,FALSE),0)</f>
        <v>-118378200</v>
      </c>
      <c r="F148" s="426">
        <v>-15940045</v>
      </c>
      <c r="G148" s="426">
        <f>VLOOKUP(C148,[5]Hoja7!$B:$C,2,FALSE)</f>
        <v>0</v>
      </c>
      <c r="H148" s="426">
        <f t="shared" si="8"/>
        <v>-15940045</v>
      </c>
      <c r="I148" s="417">
        <f>VLOOKUP(C148,[5]Hoja3!$A:$B,2,FALSE)</f>
        <v>15940045</v>
      </c>
      <c r="J148" s="417">
        <f t="shared" si="9"/>
        <v>-102438155</v>
      </c>
    </row>
    <row r="149" spans="1:10" ht="13.2" x14ac:dyDescent="0.25">
      <c r="A149" s="409" t="s">
        <v>1394</v>
      </c>
      <c r="B149" s="28" t="s">
        <v>377</v>
      </c>
      <c r="C149" s="414" t="s">
        <v>1197</v>
      </c>
      <c r="D149" s="414" t="s">
        <v>1198</v>
      </c>
      <c r="E149" s="426">
        <f>IFERROR(VLOOKUP(C149,[4]Sheet1!$A:$C,3,FALSE),0)</f>
        <v>-104015962</v>
      </c>
      <c r="F149" s="426">
        <v>-89374848</v>
      </c>
      <c r="G149" s="426">
        <f>VLOOKUP(C149,[5]Hoja7!$B:$C,2,FALSE)</f>
        <v>0</v>
      </c>
      <c r="H149" s="426">
        <f t="shared" si="8"/>
        <v>-89374848</v>
      </c>
      <c r="I149" s="417">
        <f>VLOOKUP(C149,[5]Hoja3!$A:$B,2,FALSE)</f>
        <v>89374848</v>
      </c>
      <c r="J149" s="417">
        <f t="shared" si="9"/>
        <v>-14641114</v>
      </c>
    </row>
    <row r="150" spans="1:10" ht="13.2" x14ac:dyDescent="0.25">
      <c r="A150" s="409" t="s">
        <v>1394</v>
      </c>
      <c r="B150" s="28" t="s">
        <v>377</v>
      </c>
      <c r="C150" s="414" t="s">
        <v>1195</v>
      </c>
      <c r="D150" s="414" t="s">
        <v>1196</v>
      </c>
      <c r="E150" s="426">
        <f>IFERROR(VLOOKUP(C150,[4]Sheet1!$A:$C,3,FALSE),0)</f>
        <v>-45394398</v>
      </c>
      <c r="F150" s="426">
        <v>-37550850</v>
      </c>
      <c r="G150" s="426">
        <f>VLOOKUP(C150,[5]Hoja7!$B:$C,2,FALSE)</f>
        <v>0</v>
      </c>
      <c r="H150" s="426">
        <f t="shared" si="8"/>
        <v>-37550850</v>
      </c>
      <c r="I150" s="417">
        <f>VLOOKUP(C150,[5]Hoja3!$A:$B,2,FALSE)</f>
        <v>37550850</v>
      </c>
      <c r="J150" s="417">
        <f t="shared" si="9"/>
        <v>-7843548</v>
      </c>
    </row>
    <row r="151" spans="1:10" ht="13.2" x14ac:dyDescent="0.25">
      <c r="A151" s="409" t="s">
        <v>1394</v>
      </c>
      <c r="B151" s="28" t="s">
        <v>371</v>
      </c>
      <c r="C151" s="414" t="s">
        <v>1398</v>
      </c>
      <c r="D151" s="414" t="s">
        <v>1399</v>
      </c>
      <c r="E151" s="426">
        <f>IFERROR(VLOOKUP(C151,[4]Sheet1!$A:$C,3,FALSE),0)</f>
        <v>0</v>
      </c>
      <c r="F151" s="426">
        <v>0</v>
      </c>
      <c r="G151" s="426">
        <f>VLOOKUP(C151,[5]Hoja7!$B:$C,2,FALSE)</f>
        <v>-227655564</v>
      </c>
      <c r="H151" s="426">
        <f t="shared" si="8"/>
        <v>227655564</v>
      </c>
      <c r="I151" s="417">
        <f>VLOOKUP(C151,[5]Hoja3!$A:$B,2,FALSE)</f>
        <v>0</v>
      </c>
      <c r="J151" s="417">
        <f t="shared" si="9"/>
        <v>0</v>
      </c>
    </row>
    <row r="152" spans="1:10" ht="13.2" x14ac:dyDescent="0.25">
      <c r="A152" s="409" t="s">
        <v>1394</v>
      </c>
      <c r="B152" s="28" t="s">
        <v>371</v>
      </c>
      <c r="C152" s="414" t="s">
        <v>1199</v>
      </c>
      <c r="D152" s="414" t="s">
        <v>1200</v>
      </c>
      <c r="E152" s="426">
        <f>IFERROR(VLOOKUP(C152,[4]Sheet1!$A:$C,3,FALSE),0)</f>
        <v>-1025125081</v>
      </c>
      <c r="F152" s="426">
        <v>-1278764232</v>
      </c>
      <c r="G152" s="426">
        <f>VLOOKUP(C152,[5]Hoja7!$B:$C,2,FALSE)</f>
        <v>-614826190</v>
      </c>
      <c r="H152" s="426">
        <f t="shared" si="8"/>
        <v>-663938042</v>
      </c>
      <c r="I152" s="417">
        <f>VLOOKUP(C152,[5]Hoja3!$A:$B,2,FALSE)</f>
        <v>1278199881</v>
      </c>
      <c r="J152" s="417">
        <f t="shared" si="9"/>
        <v>253074800</v>
      </c>
    </row>
    <row r="153" spans="1:10" ht="13.2" x14ac:dyDescent="0.25">
      <c r="A153" s="409" t="s">
        <v>1394</v>
      </c>
      <c r="B153" s="28" t="s">
        <v>371</v>
      </c>
      <c r="C153" s="414" t="s">
        <v>1201</v>
      </c>
      <c r="D153" s="414" t="s">
        <v>1202</v>
      </c>
      <c r="E153" s="426">
        <f>IFERROR(VLOOKUP(C153,[4]Sheet1!$A:$C,3,FALSE),0)</f>
        <v>-123528563</v>
      </c>
      <c r="F153" s="426">
        <v>-158646513</v>
      </c>
      <c r="G153" s="426">
        <f>VLOOKUP(C153,[5]Hoja7!$B:$C,2,FALSE)</f>
        <v>-122374532</v>
      </c>
      <c r="H153" s="426">
        <f t="shared" si="8"/>
        <v>-36271981</v>
      </c>
      <c r="I153" s="417">
        <f>VLOOKUP(C153,[5]Hoja3!$A:$B,2,FALSE)</f>
        <v>158646513</v>
      </c>
      <c r="J153" s="417">
        <f t="shared" si="9"/>
        <v>35117950</v>
      </c>
    </row>
    <row r="154" spans="1:10" ht="13.2" x14ac:dyDescent="0.25">
      <c r="A154" s="409" t="s">
        <v>1394</v>
      </c>
      <c r="B154" s="28" t="s">
        <v>371</v>
      </c>
      <c r="C154" s="414" t="s">
        <v>1203</v>
      </c>
      <c r="D154" s="414" t="s">
        <v>1204</v>
      </c>
      <c r="E154" s="426">
        <f>IFERROR(VLOOKUP(C154,[4]Sheet1!$A:$C,3,FALSE),0)</f>
        <v>-138565328</v>
      </c>
      <c r="F154" s="426">
        <v>-304788165</v>
      </c>
      <c r="G154" s="426">
        <f>VLOOKUP(C154,[5]Hoja7!$B:$C,2,FALSE)</f>
        <v>-401379548</v>
      </c>
      <c r="H154" s="426">
        <f t="shared" si="8"/>
        <v>96591383</v>
      </c>
      <c r="I154" s="417">
        <f>VLOOKUP(C154,[5]Hoja3!$A:$B,2,FALSE)</f>
        <v>298788165</v>
      </c>
      <c r="J154" s="417">
        <f t="shared" si="9"/>
        <v>160222837</v>
      </c>
    </row>
    <row r="155" spans="1:10" ht="13.2" x14ac:dyDescent="0.25">
      <c r="A155" s="409" t="s">
        <v>1394</v>
      </c>
      <c r="B155" s="147" t="s">
        <v>370</v>
      </c>
      <c r="C155" s="414" t="s">
        <v>1205</v>
      </c>
      <c r="D155" s="414" t="s">
        <v>1206</v>
      </c>
      <c r="E155" s="426">
        <f>IFERROR(VLOOKUP(C155,[4]Sheet1!$A:$C,3,FALSE),0)</f>
        <v>-2320049005</v>
      </c>
      <c r="F155" s="426">
        <v>-2942067704</v>
      </c>
      <c r="G155" s="426">
        <f>VLOOKUP(C155,[5]Hoja7!$B:$C,2,FALSE)</f>
        <v>-2864796368</v>
      </c>
      <c r="H155" s="426">
        <f t="shared" si="8"/>
        <v>-77271336</v>
      </c>
      <c r="I155" s="417">
        <f>VLOOKUP(C155,[5]Hoja3!$A:$B,2,FALSE)</f>
        <v>2942067704</v>
      </c>
      <c r="J155" s="417">
        <f t="shared" si="9"/>
        <v>622018699</v>
      </c>
    </row>
    <row r="156" spans="1:10" ht="13.2" x14ac:dyDescent="0.25">
      <c r="A156" s="409" t="s">
        <v>1394</v>
      </c>
      <c r="B156" s="28" t="s">
        <v>371</v>
      </c>
      <c r="C156" s="414" t="s">
        <v>1207</v>
      </c>
      <c r="D156" s="414" t="s">
        <v>1208</v>
      </c>
      <c r="E156" s="426">
        <f>IFERROR(VLOOKUP(C156,[4]Sheet1!$A:$C,3,FALSE),0)</f>
        <v>-13113847</v>
      </c>
      <c r="F156" s="426">
        <v>-13967546</v>
      </c>
      <c r="G156" s="426">
        <f>VLOOKUP(C156,[5]Hoja7!$B:$C,2,FALSE)</f>
        <v>-30849800</v>
      </c>
      <c r="H156" s="426">
        <f t="shared" si="8"/>
        <v>16882254</v>
      </c>
      <c r="I156" s="417">
        <f>VLOOKUP(C156,[5]Hoja3!$A:$B,2,FALSE)</f>
        <v>13967546</v>
      </c>
      <c r="J156" s="417">
        <f t="shared" si="9"/>
        <v>853699</v>
      </c>
    </row>
    <row r="157" spans="1:10" ht="13.2" x14ac:dyDescent="0.25">
      <c r="A157" s="409" t="s">
        <v>1394</v>
      </c>
      <c r="B157" s="28" t="s">
        <v>371</v>
      </c>
      <c r="C157" s="414" t="s">
        <v>1209</v>
      </c>
      <c r="D157" s="414" t="s">
        <v>1210</v>
      </c>
      <c r="E157" s="426">
        <f>IFERROR(VLOOKUP(C157,[4]Sheet1!$A:$C,3,FALSE),0)</f>
        <v>-608782574</v>
      </c>
      <c r="F157" s="426">
        <v>-736902059</v>
      </c>
      <c r="G157" s="426">
        <f>VLOOKUP(C157,[5]Hoja7!$B:$C,2,FALSE)</f>
        <v>-416295077</v>
      </c>
      <c r="H157" s="426">
        <f t="shared" si="8"/>
        <v>-320606982</v>
      </c>
      <c r="I157" s="417">
        <f>VLOOKUP(C157,[5]Hoja3!$A:$B,2,FALSE)</f>
        <v>736902059</v>
      </c>
      <c r="J157" s="417">
        <f t="shared" si="9"/>
        <v>128119485</v>
      </c>
    </row>
    <row r="158" spans="1:10" ht="13.2" x14ac:dyDescent="0.25">
      <c r="A158" s="409" t="s">
        <v>1394</v>
      </c>
      <c r="B158" s="28" t="s">
        <v>371</v>
      </c>
      <c r="C158" s="414" t="s">
        <v>1211</v>
      </c>
      <c r="D158" s="414" t="s">
        <v>1212</v>
      </c>
      <c r="E158" s="426">
        <f>IFERROR(VLOOKUP(C158,[4]Sheet1!$A:$C,3,FALSE),0)</f>
        <v>0</v>
      </c>
      <c r="F158" s="426">
        <v>-3758700</v>
      </c>
      <c r="G158" s="426">
        <f>VLOOKUP(C158,[5]Hoja7!$B:$C,2,FALSE)</f>
        <v>0</v>
      </c>
      <c r="H158" s="426">
        <f t="shared" si="8"/>
        <v>-3758700</v>
      </c>
      <c r="I158" s="417">
        <f>VLOOKUP(C158,[5]Hoja3!$A:$B,2,FALSE)</f>
        <v>3758700</v>
      </c>
      <c r="J158" s="417">
        <f t="shared" si="9"/>
        <v>3758700</v>
      </c>
    </row>
    <row r="159" spans="1:10" ht="13.2" x14ac:dyDescent="0.25">
      <c r="A159" s="409" t="s">
        <v>1394</v>
      </c>
      <c r="B159" s="147" t="s">
        <v>372</v>
      </c>
      <c r="C159" s="414" t="s">
        <v>1554</v>
      </c>
      <c r="D159" s="414" t="s">
        <v>1555</v>
      </c>
      <c r="E159" s="426">
        <f>IFERROR(VLOOKUP(C159,[4]Sheet1!$A:$C,3,FALSE),0)</f>
        <v>-10000</v>
      </c>
      <c r="F159" s="426">
        <v>0</v>
      </c>
      <c r="G159" s="426" t="e">
        <f>VLOOKUP(C159,[5]Hoja7!$B:$C,2,FALSE)</f>
        <v>#N/A</v>
      </c>
      <c r="H159" s="426" t="e">
        <f t="shared" ref="H159" si="10">+F159-G159</f>
        <v>#N/A</v>
      </c>
      <c r="I159" s="417" t="e">
        <f>VLOOKUP(C159,[5]Hoja3!$A:$B,2,FALSE)</f>
        <v>#N/A</v>
      </c>
      <c r="J159" s="417" t="e">
        <f t="shared" ref="J159" si="11">+E159+I159</f>
        <v>#N/A</v>
      </c>
    </row>
    <row r="160" spans="1:10" ht="13.2" x14ac:dyDescent="0.25">
      <c r="A160" s="409" t="s">
        <v>1394</v>
      </c>
      <c r="B160" s="147" t="s">
        <v>372</v>
      </c>
      <c r="C160" s="414" t="s">
        <v>1213</v>
      </c>
      <c r="D160" s="414" t="s">
        <v>372</v>
      </c>
      <c r="E160" s="426">
        <f>IFERROR(VLOOKUP(C160,[4]Sheet1!$A:$C,3,FALSE),0)</f>
        <v>-326495849</v>
      </c>
      <c r="F160" s="426">
        <v>-855091423</v>
      </c>
      <c r="G160" s="426">
        <f>VLOOKUP(C160,[5]Hoja7!$B:$C,2,FALSE)</f>
        <v>-1488254817</v>
      </c>
      <c r="H160" s="426">
        <f t="shared" si="8"/>
        <v>633163394</v>
      </c>
      <c r="I160" s="417">
        <f>VLOOKUP(C160,[5]Hoja3!$A:$B,2,FALSE)</f>
        <v>0</v>
      </c>
      <c r="J160" s="417">
        <f t="shared" si="9"/>
        <v>-326495849</v>
      </c>
    </row>
    <row r="161" spans="1:10" ht="13.2" x14ac:dyDescent="0.25">
      <c r="A161" s="409" t="s">
        <v>1394</v>
      </c>
      <c r="B161" s="28" t="s">
        <v>377</v>
      </c>
      <c r="C161" s="414" t="s">
        <v>1214</v>
      </c>
      <c r="D161" s="414" t="s">
        <v>1215</v>
      </c>
      <c r="E161" s="426">
        <f>IFERROR(VLOOKUP(C161,[4]Sheet1!$A:$C,3,FALSE),0)</f>
        <v>-422501</v>
      </c>
      <c r="F161" s="426">
        <v>-66552</v>
      </c>
      <c r="G161" s="426">
        <f>VLOOKUP(C161,[5]Hoja7!$B:$C,2,FALSE)</f>
        <v>-418636</v>
      </c>
      <c r="H161" s="426">
        <f t="shared" si="8"/>
        <v>352084</v>
      </c>
      <c r="I161" s="417">
        <f>VLOOKUP(C161,[5]Hoja3!$A:$B,2,FALSE)</f>
        <v>66552</v>
      </c>
      <c r="J161" s="417">
        <f t="shared" si="9"/>
        <v>-355949</v>
      </c>
    </row>
    <row r="162" spans="1:10" ht="13.2" x14ac:dyDescent="0.25">
      <c r="A162" s="409" t="s">
        <v>1394</v>
      </c>
      <c r="B162" s="28" t="s">
        <v>377</v>
      </c>
      <c r="C162" s="414" t="s">
        <v>1400</v>
      </c>
      <c r="D162" s="414" t="s">
        <v>1401</v>
      </c>
      <c r="E162" s="426">
        <f>IFERROR(VLOOKUP(C162,[4]Sheet1!$A:$C,3,FALSE),0)</f>
        <v>0</v>
      </c>
      <c r="F162" s="426">
        <v>0</v>
      </c>
      <c r="G162" s="426">
        <f>VLOOKUP(C162,[5]Hoja7!$B:$C,2,FALSE)</f>
        <v>-231818</v>
      </c>
      <c r="H162" s="426">
        <f t="shared" si="8"/>
        <v>231818</v>
      </c>
      <c r="I162" s="417">
        <f>VLOOKUP(C162,[5]Hoja3!$A:$B,2,FALSE)</f>
        <v>0</v>
      </c>
      <c r="J162" s="417">
        <f t="shared" si="9"/>
        <v>0</v>
      </c>
    </row>
    <row r="163" spans="1:10" ht="13.2" x14ac:dyDescent="0.25">
      <c r="A163" s="409" t="s">
        <v>1394</v>
      </c>
      <c r="B163" s="28" t="s">
        <v>377</v>
      </c>
      <c r="C163" s="414" t="s">
        <v>1216</v>
      </c>
      <c r="D163" s="414" t="s">
        <v>1217</v>
      </c>
      <c r="E163" s="426">
        <f>IFERROR(VLOOKUP(C163,[4]Sheet1!$A:$C,3,FALSE),0)</f>
        <v>-166063680</v>
      </c>
      <c r="F163" s="426">
        <v>-41636663</v>
      </c>
      <c r="G163" s="426">
        <f>VLOOKUP(C163,[5]Hoja7!$B:$C,2,FALSE)</f>
        <v>-60539194</v>
      </c>
      <c r="H163" s="426">
        <f t="shared" si="8"/>
        <v>18902531</v>
      </c>
      <c r="I163" s="417">
        <f>VLOOKUP(C163,[5]Hoja3!$A:$B,2,FALSE)</f>
        <v>41636663</v>
      </c>
      <c r="J163" s="417">
        <f t="shared" si="9"/>
        <v>-124427017</v>
      </c>
    </row>
    <row r="164" spans="1:10" ht="13.2" x14ac:dyDescent="0.25">
      <c r="A164" s="409" t="s">
        <v>1394</v>
      </c>
      <c r="B164" s="147" t="s">
        <v>382</v>
      </c>
      <c r="C164" s="414" t="s">
        <v>1218</v>
      </c>
      <c r="D164" s="414" t="s">
        <v>1219</v>
      </c>
      <c r="E164" s="426">
        <f>IFERROR(VLOOKUP(C164,[4]Sheet1!$A:$C,3,FALSE),0)</f>
        <v>-461065156</v>
      </c>
      <c r="F164" s="426">
        <v>-546431686</v>
      </c>
      <c r="G164" s="426">
        <f>VLOOKUP(C164,[5]Hoja7!$B:$C,2,FALSE)</f>
        <v>-491790438</v>
      </c>
      <c r="H164" s="426">
        <f t="shared" si="8"/>
        <v>-54641248</v>
      </c>
      <c r="I164" s="417">
        <f>VLOOKUP(C164,[5]Hoja3!$A:$B,2,FALSE)</f>
        <v>546431686</v>
      </c>
      <c r="J164" s="417">
        <f t="shared" si="9"/>
        <v>85366530</v>
      </c>
    </row>
    <row r="165" spans="1:10" ht="13.2" x14ac:dyDescent="0.25">
      <c r="A165" s="409" t="s">
        <v>1394</v>
      </c>
      <c r="B165" s="147" t="s">
        <v>382</v>
      </c>
      <c r="C165" s="414" t="s">
        <v>1220</v>
      </c>
      <c r="D165" s="414" t="s">
        <v>1221</v>
      </c>
      <c r="E165" s="426">
        <f>IFERROR(VLOOKUP(C165,[4]Sheet1!$A:$C,3,FALSE),0)</f>
        <v>-13991902</v>
      </c>
      <c r="F165" s="426">
        <v>-26603639</v>
      </c>
      <c r="G165" s="426">
        <f>VLOOKUP(C165,[5]Hoja7!$B:$C,2,FALSE)</f>
        <v>-15405939</v>
      </c>
      <c r="H165" s="426">
        <f t="shared" si="8"/>
        <v>-11197700</v>
      </c>
      <c r="I165" s="417">
        <f>VLOOKUP(C165,[5]Hoja3!$A:$B,2,FALSE)</f>
        <v>26603639</v>
      </c>
      <c r="J165" s="417">
        <f t="shared" si="9"/>
        <v>12611737</v>
      </c>
    </row>
    <row r="166" spans="1:10" ht="13.2" x14ac:dyDescent="0.25">
      <c r="A166" s="409" t="s">
        <v>1394</v>
      </c>
      <c r="B166" s="147" t="s">
        <v>375</v>
      </c>
      <c r="C166" s="414" t="s">
        <v>1222</v>
      </c>
      <c r="D166" s="414" t="s">
        <v>1223</v>
      </c>
      <c r="E166" s="426">
        <f>IFERROR(VLOOKUP(C166,[4]Sheet1!$A:$C,3,FALSE),0)</f>
        <v>-161472624</v>
      </c>
      <c r="F166" s="426">
        <v>-228104557</v>
      </c>
      <c r="G166" s="426">
        <f>VLOOKUP(C166,[5]Hoja7!$B:$C,2,FALSE)</f>
        <v>-105205782</v>
      </c>
      <c r="H166" s="426">
        <f t="shared" si="8"/>
        <v>-122898775</v>
      </c>
      <c r="I166" s="417">
        <f>VLOOKUP(C166,[5]Hoja3!$A:$B,2,FALSE)</f>
        <v>227797768</v>
      </c>
      <c r="J166" s="417">
        <f t="shared" si="9"/>
        <v>66325144</v>
      </c>
    </row>
    <row r="167" spans="1:10" ht="13.2" x14ac:dyDescent="0.25">
      <c r="A167" s="409" t="s">
        <v>1394</v>
      </c>
      <c r="B167" s="147" t="s">
        <v>375</v>
      </c>
      <c r="C167" s="414" t="s">
        <v>1224</v>
      </c>
      <c r="D167" s="414" t="s">
        <v>1225</v>
      </c>
      <c r="E167" s="426">
        <f>IFERROR(VLOOKUP(C167,[4]Sheet1!$A:$C,3,FALSE),0)</f>
        <v>-273744054</v>
      </c>
      <c r="F167" s="426">
        <v>-509125843</v>
      </c>
      <c r="G167" s="426">
        <f>VLOOKUP(C167,[5]Hoja7!$B:$C,2,FALSE)</f>
        <v>-324188777</v>
      </c>
      <c r="H167" s="426">
        <f t="shared" si="8"/>
        <v>-184937066</v>
      </c>
      <c r="I167" s="417">
        <f>VLOOKUP(C167,[5]Hoja3!$A:$B,2,FALSE)</f>
        <v>525878643</v>
      </c>
      <c r="J167" s="417">
        <f t="shared" si="9"/>
        <v>252134589</v>
      </c>
    </row>
    <row r="168" spans="1:10" ht="13.2" x14ac:dyDescent="0.25">
      <c r="A168" s="409" t="s">
        <v>1394</v>
      </c>
      <c r="B168" s="28" t="s">
        <v>377</v>
      </c>
      <c r="C168" s="414" t="s">
        <v>1226</v>
      </c>
      <c r="D168" s="414" t="s">
        <v>1227</v>
      </c>
      <c r="E168" s="426">
        <f>IFERROR(VLOOKUP(C168,[4]Sheet1!$A:$C,3,FALSE),0)</f>
        <v>-70702768</v>
      </c>
      <c r="F168" s="426">
        <v>-122054403</v>
      </c>
      <c r="G168" s="426">
        <f>VLOOKUP(C168,[5]Hoja7!$B:$C,2,FALSE)</f>
        <v>-98143020</v>
      </c>
      <c r="H168" s="426">
        <f t="shared" si="8"/>
        <v>-23911383</v>
      </c>
      <c r="I168" s="417">
        <f>VLOOKUP(C168,[5]Hoja3!$A:$B,2,FALSE)</f>
        <v>120671885</v>
      </c>
      <c r="J168" s="417">
        <f t="shared" si="9"/>
        <v>49969117</v>
      </c>
    </row>
    <row r="169" spans="1:10" ht="13.2" x14ac:dyDescent="0.25">
      <c r="A169" s="409" t="s">
        <v>1394</v>
      </c>
      <c r="B169" s="28" t="s">
        <v>377</v>
      </c>
      <c r="C169" s="414" t="s">
        <v>1228</v>
      </c>
      <c r="D169" s="414" t="s">
        <v>1229</v>
      </c>
      <c r="E169" s="426">
        <f>IFERROR(VLOOKUP(C169,[4]Sheet1!$A:$C,3,FALSE),0)</f>
        <v>-24426497</v>
      </c>
      <c r="F169" s="426">
        <v>-20481477</v>
      </c>
      <c r="G169" s="426">
        <f>VLOOKUP(C169,[5]Hoja7!$B:$C,2,FALSE)</f>
        <v>-43719067</v>
      </c>
      <c r="H169" s="426">
        <f t="shared" si="8"/>
        <v>23237590</v>
      </c>
      <c r="I169" s="417">
        <f>VLOOKUP(C169,[5]Hoja3!$A:$B,2,FALSE)</f>
        <v>20221477</v>
      </c>
      <c r="J169" s="417">
        <f t="shared" si="9"/>
        <v>-4205020</v>
      </c>
    </row>
    <row r="170" spans="1:10" ht="13.2" x14ac:dyDescent="0.25">
      <c r="A170" s="409" t="s">
        <v>1394</v>
      </c>
      <c r="B170" s="28" t="s">
        <v>377</v>
      </c>
      <c r="C170" s="414" t="s">
        <v>1230</v>
      </c>
      <c r="D170" s="414" t="s">
        <v>1231</v>
      </c>
      <c r="E170" s="426">
        <f>IFERROR(VLOOKUP(C170,[4]Sheet1!$A:$C,3,FALSE),0)</f>
        <v>-9297501</v>
      </c>
      <c r="F170" s="426">
        <v>-8998776</v>
      </c>
      <c r="G170" s="426">
        <f>VLOOKUP(C170,[5]Hoja7!$B:$C,2,FALSE)</f>
        <v>-3285192</v>
      </c>
      <c r="H170" s="426">
        <f t="shared" si="8"/>
        <v>-5713584</v>
      </c>
      <c r="I170" s="417">
        <f>VLOOKUP(C170,[5]Hoja3!$A:$B,2,FALSE)</f>
        <v>8998776</v>
      </c>
      <c r="J170" s="417">
        <f t="shared" si="9"/>
        <v>-298725</v>
      </c>
    </row>
    <row r="171" spans="1:10" ht="13.2" x14ac:dyDescent="0.25">
      <c r="A171" s="409" t="s">
        <v>1394</v>
      </c>
      <c r="B171" s="28" t="s">
        <v>377</v>
      </c>
      <c r="C171" s="414" t="s">
        <v>1402</v>
      </c>
      <c r="D171" s="414" t="s">
        <v>1403</v>
      </c>
      <c r="E171" s="426">
        <f>IFERROR(VLOOKUP(C171,[4]Sheet1!$A:$C,3,FALSE),0)</f>
        <v>-1917904</v>
      </c>
      <c r="F171" s="426">
        <v>0</v>
      </c>
      <c r="G171" s="426">
        <f>VLOOKUP(C171,[5]Hoja7!$B:$C,2,FALSE)</f>
        <v>-27273</v>
      </c>
      <c r="H171" s="426">
        <f t="shared" si="8"/>
        <v>27273</v>
      </c>
      <c r="I171" s="417">
        <f>VLOOKUP(C171,[5]Hoja3!$A:$B,2,FALSE)</f>
        <v>0</v>
      </c>
      <c r="J171" s="417">
        <f t="shared" si="9"/>
        <v>-1917904</v>
      </c>
    </row>
    <row r="172" spans="1:10" ht="13.2" x14ac:dyDescent="0.25">
      <c r="A172" s="409" t="s">
        <v>1394</v>
      </c>
      <c r="B172" s="147" t="s">
        <v>381</v>
      </c>
      <c r="C172" s="414" t="s">
        <v>1232</v>
      </c>
      <c r="D172" s="414" t="s">
        <v>1233</v>
      </c>
      <c r="E172" s="426">
        <f>IFERROR(VLOOKUP(C172,[4]Sheet1!$A:$C,3,FALSE),0)</f>
        <v>-81993504</v>
      </c>
      <c r="F172" s="426">
        <v>-93808847</v>
      </c>
      <c r="G172" s="426">
        <f>VLOOKUP(C172,[5]Hoja7!$B:$C,2,FALSE)</f>
        <v>-49991639</v>
      </c>
      <c r="H172" s="426">
        <f t="shared" si="8"/>
        <v>-43817208</v>
      </c>
      <c r="I172" s="417">
        <f>VLOOKUP(C172,[5]Hoja3!$A:$B,2,FALSE)</f>
        <v>93745574</v>
      </c>
      <c r="J172" s="417">
        <f t="shared" si="9"/>
        <v>11752070</v>
      </c>
    </row>
    <row r="173" spans="1:10" ht="13.2" x14ac:dyDescent="0.25">
      <c r="A173" s="409" t="s">
        <v>1394</v>
      </c>
      <c r="B173" s="147" t="s">
        <v>381</v>
      </c>
      <c r="C173" s="414" t="s">
        <v>1234</v>
      </c>
      <c r="D173" s="414" t="s">
        <v>1235</v>
      </c>
      <c r="E173" s="426">
        <f>IFERROR(VLOOKUP(C173,[4]Sheet1!$A:$C,3,FALSE),0)</f>
        <v>-17850045</v>
      </c>
      <c r="F173" s="426">
        <v>-14674224</v>
      </c>
      <c r="G173" s="426">
        <f>VLOOKUP(C173,[5]Hoja7!$B:$C,2,FALSE)</f>
        <v>-14270269</v>
      </c>
      <c r="H173" s="426">
        <f t="shared" si="8"/>
        <v>-403955</v>
      </c>
      <c r="I173" s="417">
        <f>VLOOKUP(C173,[5]Hoja3!$A:$B,2,FALSE)</f>
        <v>14674224</v>
      </c>
      <c r="J173" s="417">
        <f t="shared" si="9"/>
        <v>-3175821</v>
      </c>
    </row>
    <row r="174" spans="1:10" ht="13.2" x14ac:dyDescent="0.25">
      <c r="A174" s="409" t="s">
        <v>1394</v>
      </c>
      <c r="B174" s="147" t="s">
        <v>381</v>
      </c>
      <c r="C174" s="414" t="s">
        <v>1236</v>
      </c>
      <c r="D174" s="414" t="s">
        <v>1237</v>
      </c>
      <c r="E174" s="426">
        <f>IFERROR(VLOOKUP(C174,[4]Sheet1!$A:$C,3,FALSE),0)</f>
        <v>-30701816</v>
      </c>
      <c r="F174" s="426">
        <v>-29225410</v>
      </c>
      <c r="G174" s="426">
        <f>VLOOKUP(C174,[5]Hoja7!$B:$C,2,FALSE)</f>
        <v>-11775690</v>
      </c>
      <c r="H174" s="426">
        <f t="shared" si="8"/>
        <v>-17449720</v>
      </c>
      <c r="I174" s="417">
        <f>VLOOKUP(C174,[5]Hoja3!$A:$B,2,FALSE)</f>
        <v>28079179</v>
      </c>
      <c r="J174" s="417">
        <f t="shared" si="9"/>
        <v>-2622637</v>
      </c>
    </row>
    <row r="175" spans="1:10" ht="13.2" x14ac:dyDescent="0.25">
      <c r="A175" s="409" t="s">
        <v>1394</v>
      </c>
      <c r="B175" s="147" t="s">
        <v>381</v>
      </c>
      <c r="C175" s="414" t="s">
        <v>1238</v>
      </c>
      <c r="D175" s="414" t="s">
        <v>1239</v>
      </c>
      <c r="E175" s="426">
        <f>IFERROR(VLOOKUP(C175,[4]Sheet1!$A:$C,3,FALSE),0)</f>
        <v>-212599028</v>
      </c>
      <c r="F175" s="426">
        <v>-918393964</v>
      </c>
      <c r="G175" s="426">
        <f>VLOOKUP(C175,[5]Hoja7!$B:$C,2,FALSE)</f>
        <v>-64353298</v>
      </c>
      <c r="H175" s="426">
        <f t="shared" si="8"/>
        <v>-854040666</v>
      </c>
      <c r="I175" s="417">
        <f>VLOOKUP(C175,[5]Hoja3!$A:$B,2,FALSE)</f>
        <v>918393964</v>
      </c>
      <c r="J175" s="417">
        <f t="shared" si="9"/>
        <v>705794936</v>
      </c>
    </row>
    <row r="176" spans="1:10" ht="13.2" x14ac:dyDescent="0.2">
      <c r="A176" s="409" t="s">
        <v>1394</v>
      </c>
      <c r="B176" s="211" t="s">
        <v>368</v>
      </c>
      <c r="C176" s="414" t="s">
        <v>1240</v>
      </c>
      <c r="D176" s="414" t="s">
        <v>1241</v>
      </c>
      <c r="E176" s="426">
        <f>IFERROR(VLOOKUP(C176,[4]Sheet1!$A:$C,3,FALSE),0)</f>
        <v>-926801236</v>
      </c>
      <c r="F176" s="426">
        <v>-108615241</v>
      </c>
      <c r="G176" s="426">
        <f>VLOOKUP(C176,[5]Hoja7!$B:$C,2,FALSE)</f>
        <v>-358687420</v>
      </c>
      <c r="H176" s="426">
        <f t="shared" si="8"/>
        <v>250072179</v>
      </c>
      <c r="I176" s="417">
        <f>VLOOKUP(C176,[5]Hoja3!$A:$B,2,FALSE)</f>
        <v>108615241</v>
      </c>
      <c r="J176" s="417">
        <f t="shared" si="9"/>
        <v>-818185995</v>
      </c>
    </row>
    <row r="177" spans="1:10" ht="13.2" x14ac:dyDescent="0.25">
      <c r="A177" s="409" t="s">
        <v>1394</v>
      </c>
      <c r="B177" s="28" t="s">
        <v>377</v>
      </c>
      <c r="C177" s="414" t="s">
        <v>1242</v>
      </c>
      <c r="D177" s="414" t="s">
        <v>1243</v>
      </c>
      <c r="E177" s="426">
        <f>IFERROR(VLOOKUP(C177,[4]Sheet1!$A:$C,3,FALSE),0)</f>
        <v>0</v>
      </c>
      <c r="F177" s="426">
        <v>-175009890</v>
      </c>
      <c r="G177" s="426">
        <f>VLOOKUP(C177,[5]Hoja7!$B:$C,2,FALSE)</f>
        <v>-43865078</v>
      </c>
      <c r="H177" s="426">
        <f t="shared" si="8"/>
        <v>-131144812</v>
      </c>
      <c r="I177" s="417">
        <f>VLOOKUP(C177,[5]Hoja3!$A:$B,2,FALSE)</f>
        <v>157508901</v>
      </c>
      <c r="J177" s="417">
        <f t="shared" si="9"/>
        <v>157508901</v>
      </c>
    </row>
    <row r="178" spans="1:10" ht="13.2" x14ac:dyDescent="0.25">
      <c r="A178" s="409" t="s">
        <v>1394</v>
      </c>
      <c r="B178" s="28" t="s">
        <v>377</v>
      </c>
      <c r="C178" s="414" t="s">
        <v>1244</v>
      </c>
      <c r="D178" s="414" t="s">
        <v>1245</v>
      </c>
      <c r="E178" s="426">
        <f>IFERROR(VLOOKUP(C178,[4]Sheet1!$A:$C,3,FALSE),0)</f>
        <v>0</v>
      </c>
      <c r="F178" s="426">
        <v>-50000</v>
      </c>
      <c r="G178" s="426">
        <f>VLOOKUP(C178,[5]Hoja7!$B:$C,2,FALSE)</f>
        <v>-19527504</v>
      </c>
      <c r="H178" s="426">
        <f t="shared" si="8"/>
        <v>19477504</v>
      </c>
      <c r="I178" s="417">
        <f>VLOOKUP(C178,[5]Hoja3!$A:$B,2,FALSE)</f>
        <v>50000</v>
      </c>
      <c r="J178" s="417">
        <f t="shared" si="9"/>
        <v>50000</v>
      </c>
    </row>
    <row r="179" spans="1:10" ht="13.2" x14ac:dyDescent="0.25">
      <c r="A179" s="409" t="s">
        <v>1394</v>
      </c>
      <c r="B179" s="147" t="s">
        <v>380</v>
      </c>
      <c r="C179" s="414" t="s">
        <v>1246</v>
      </c>
      <c r="D179" s="414" t="s">
        <v>1247</v>
      </c>
      <c r="E179" s="426">
        <f>IFERROR(VLOOKUP(C179,[4]Sheet1!$A:$C,3,FALSE),0)</f>
        <v>-194817399</v>
      </c>
      <c r="F179" s="426">
        <v>-242826324</v>
      </c>
      <c r="G179" s="426">
        <f>VLOOKUP(C179,[5]Hoja7!$B:$C,2,FALSE)</f>
        <v>-245586324</v>
      </c>
      <c r="H179" s="426">
        <f t="shared" si="8"/>
        <v>2760000</v>
      </c>
      <c r="I179" s="417">
        <f>VLOOKUP(C179,[5]Hoja3!$A:$B,2,FALSE)</f>
        <v>242826324</v>
      </c>
      <c r="J179" s="417">
        <f t="shared" si="9"/>
        <v>48008925</v>
      </c>
    </row>
    <row r="180" spans="1:10" ht="13.2" x14ac:dyDescent="0.25">
      <c r="A180" s="409" t="s">
        <v>1394</v>
      </c>
      <c r="B180" s="147" t="s">
        <v>380</v>
      </c>
      <c r="C180" s="414" t="s">
        <v>1248</v>
      </c>
      <c r="D180" s="414" t="s">
        <v>1249</v>
      </c>
      <c r="E180" s="426">
        <f>IFERROR(VLOOKUP(C180,[4]Sheet1!$A:$C,3,FALSE),0)</f>
        <v>-14435316</v>
      </c>
      <c r="F180" s="426">
        <v>-3392308</v>
      </c>
      <c r="I180" s="417">
        <f>VLOOKUP(C180,[5]Hoja3!$A:$B,2,FALSE)</f>
        <v>3182408</v>
      </c>
      <c r="J180" s="417">
        <f t="shared" si="9"/>
        <v>-11252908</v>
      </c>
    </row>
    <row r="181" spans="1:10" ht="13.2" x14ac:dyDescent="0.25">
      <c r="A181" s="409" t="s">
        <v>1394</v>
      </c>
      <c r="B181" s="147" t="s">
        <v>380</v>
      </c>
      <c r="C181" s="414" t="s">
        <v>1250</v>
      </c>
      <c r="D181" s="414" t="s">
        <v>1251</v>
      </c>
      <c r="E181" s="426">
        <f>IFERROR(VLOOKUP(C181,[4]Sheet1!$A:$C,3,FALSE),0)</f>
        <v>-54026675</v>
      </c>
      <c r="F181" s="426">
        <v>-39495592</v>
      </c>
      <c r="G181" s="426">
        <f>VLOOKUP(C181,[5]Hoja7!$B:$C,2,FALSE)</f>
        <v>-39359072</v>
      </c>
      <c r="H181" s="426">
        <f t="shared" si="8"/>
        <v>-136520</v>
      </c>
      <c r="I181" s="417">
        <f>VLOOKUP(C181,[5]Hoja3!$A:$B,2,FALSE)</f>
        <v>39495592</v>
      </c>
      <c r="J181" s="417">
        <f t="shared" si="9"/>
        <v>-14531083</v>
      </c>
    </row>
    <row r="182" spans="1:10" ht="13.2" x14ac:dyDescent="0.25">
      <c r="A182" s="409" t="s">
        <v>1394</v>
      </c>
      <c r="B182" s="147" t="s">
        <v>380</v>
      </c>
      <c r="C182" s="414" t="s">
        <v>1252</v>
      </c>
      <c r="D182" s="414" t="s">
        <v>1253</v>
      </c>
      <c r="E182" s="426">
        <f>IFERROR(VLOOKUP(C182,[4]Sheet1!$A:$C,3,FALSE),0)</f>
        <v>-3600623</v>
      </c>
      <c r="F182" s="426">
        <v>-2171585</v>
      </c>
      <c r="G182" s="426">
        <f>VLOOKUP(C182,[5]Hoja7!$B:$C,2,FALSE)</f>
        <v>-8907633</v>
      </c>
      <c r="H182" s="426">
        <f t="shared" si="8"/>
        <v>6736048</v>
      </c>
      <c r="I182" s="417">
        <f>VLOOKUP(C182,[5]Hoja3!$A:$B,2,FALSE)</f>
        <v>2171585</v>
      </c>
      <c r="J182" s="417">
        <f t="shared" si="9"/>
        <v>-1429038</v>
      </c>
    </row>
    <row r="183" spans="1:10" ht="13.2" x14ac:dyDescent="0.25">
      <c r="A183" s="409" t="s">
        <v>1394</v>
      </c>
      <c r="B183" s="147" t="s">
        <v>380</v>
      </c>
      <c r="C183" s="414" t="s">
        <v>1254</v>
      </c>
      <c r="D183" s="414" t="s">
        <v>1255</v>
      </c>
      <c r="E183" s="426">
        <f>IFERROR(VLOOKUP(C183,[4]Sheet1!$A:$C,3,FALSE),0)</f>
        <v>-3555900</v>
      </c>
      <c r="F183" s="426">
        <v>-2585420</v>
      </c>
      <c r="G183" s="426">
        <f>VLOOKUP(C183,[5]Hoja7!$B:$C,2,FALSE)</f>
        <v>-2151000</v>
      </c>
      <c r="H183" s="426">
        <f t="shared" si="8"/>
        <v>-434420</v>
      </c>
      <c r="I183" s="417">
        <f>VLOOKUP(C183,[5]Hoja3!$A:$B,2,FALSE)</f>
        <v>2585420</v>
      </c>
      <c r="J183" s="417">
        <f t="shared" si="9"/>
        <v>-970480</v>
      </c>
    </row>
    <row r="184" spans="1:10" ht="13.2" x14ac:dyDescent="0.25">
      <c r="A184" s="409" t="s">
        <v>1394</v>
      </c>
      <c r="B184" s="147" t="s">
        <v>380</v>
      </c>
      <c r="C184" s="414" t="s">
        <v>1256</v>
      </c>
      <c r="D184" s="414" t="s">
        <v>1257</v>
      </c>
      <c r="E184" s="426">
        <f>IFERROR(VLOOKUP(C184,[4]Sheet1!$A:$C,3,FALSE),0)</f>
        <v>-115883433</v>
      </c>
      <c r="F184" s="426">
        <v>-139490520</v>
      </c>
      <c r="G184" s="426">
        <f>VLOOKUP(C184,[5]Hoja7!$B:$C,2,FALSE)</f>
        <v>-123118316</v>
      </c>
      <c r="H184" s="426">
        <f t="shared" si="8"/>
        <v>-16372204</v>
      </c>
      <c r="I184" s="417">
        <f>VLOOKUP(C184,[5]Hoja3!$A:$B,2,FALSE)</f>
        <v>0</v>
      </c>
      <c r="J184" s="417">
        <f t="shared" si="9"/>
        <v>-115883433</v>
      </c>
    </row>
    <row r="185" spans="1:10" ht="13.2" x14ac:dyDescent="0.25">
      <c r="A185" s="409" t="s">
        <v>1394</v>
      </c>
      <c r="B185" s="147" t="s">
        <v>380</v>
      </c>
      <c r="C185" s="414" t="s">
        <v>1258</v>
      </c>
      <c r="D185" s="414" t="s">
        <v>1259</v>
      </c>
      <c r="E185" s="426">
        <f>IFERROR(VLOOKUP(C185,[4]Sheet1!$A:$C,3,FALSE),0)</f>
        <v>-22764555</v>
      </c>
      <c r="F185" s="426">
        <v>-8428120</v>
      </c>
      <c r="G185" s="426" t="e">
        <f>VLOOKUP(C185,[5]Hoja7!$B:$C,2,FALSE)</f>
        <v>#N/A</v>
      </c>
      <c r="H185" s="426" t="e">
        <f t="shared" si="8"/>
        <v>#N/A</v>
      </c>
      <c r="I185" s="417">
        <f>VLOOKUP(C185,[5]Hoja3!$A:$B,2,FALSE)</f>
        <v>8428120</v>
      </c>
      <c r="J185" s="417">
        <f t="shared" si="9"/>
        <v>-14336435</v>
      </c>
    </row>
    <row r="186" spans="1:10" ht="13.2" x14ac:dyDescent="0.2">
      <c r="A186" s="409" t="s">
        <v>1383</v>
      </c>
      <c r="B186" s="211" t="s">
        <v>310</v>
      </c>
      <c r="C186" s="414" t="s">
        <v>1260</v>
      </c>
      <c r="D186" s="414" t="s">
        <v>1261</v>
      </c>
      <c r="E186" s="426">
        <f>IFERROR(VLOOKUP(C186,[4]Sheet1!$A:$C,3,FALSE),0)</f>
        <v>6067707095</v>
      </c>
      <c r="F186" s="426">
        <v>3263885637</v>
      </c>
    </row>
    <row r="187" spans="1:10" ht="13.2" x14ac:dyDescent="0.25">
      <c r="A187" s="409" t="s">
        <v>1394</v>
      </c>
      <c r="B187" s="147" t="s">
        <v>1492</v>
      </c>
      <c r="C187" s="414" t="s">
        <v>1262</v>
      </c>
      <c r="D187" s="414" t="s">
        <v>1263</v>
      </c>
      <c r="E187" s="426">
        <f>IFERROR(VLOOKUP(C187,[4]Sheet1!$A:$C,3,FALSE),0)</f>
        <v>-1480733199</v>
      </c>
      <c r="F187" s="426">
        <v>-1964983780</v>
      </c>
      <c r="G187" s="426" t="e">
        <f>VLOOKUP(C187,[5]Hoja7!$B:$C,2,FALSE)</f>
        <v>#N/A</v>
      </c>
      <c r="H187" s="426" t="e">
        <f t="shared" ref="H187:H195" si="12">+F187-G187</f>
        <v>#N/A</v>
      </c>
      <c r="I187" s="417" t="e">
        <f>VLOOKUP(C187,[5]Hoja3!$A:$B,2,FALSE)</f>
        <v>#N/A</v>
      </c>
      <c r="J187" s="417">
        <v>0</v>
      </c>
    </row>
    <row r="188" spans="1:10" ht="13.2" x14ac:dyDescent="0.25">
      <c r="A188" s="409" t="s">
        <v>1394</v>
      </c>
      <c r="B188" s="147" t="s">
        <v>1492</v>
      </c>
      <c r="C188" s="414" t="s">
        <v>1264</v>
      </c>
      <c r="D188" s="414" t="s">
        <v>1265</v>
      </c>
      <c r="E188" s="426">
        <f>IFERROR(VLOOKUP(C188,[4]Sheet1!$A:$C,3,FALSE),0)</f>
        <v>-155392965</v>
      </c>
      <c r="F188" s="426">
        <v>-175498333</v>
      </c>
      <c r="G188" s="426" t="e">
        <f>VLOOKUP(C188,[5]Hoja7!$B:$C,2,FALSE)</f>
        <v>#N/A</v>
      </c>
      <c r="H188" s="426" t="e">
        <f t="shared" si="12"/>
        <v>#N/A</v>
      </c>
      <c r="I188" s="417" t="e">
        <f>VLOOKUP(C188,[5]Hoja3!$A:$B,2,FALSE)</f>
        <v>#N/A</v>
      </c>
      <c r="J188" s="417">
        <v>0</v>
      </c>
    </row>
    <row r="189" spans="1:10" ht="13.2" x14ac:dyDescent="0.25">
      <c r="A189" s="409" t="s">
        <v>1394</v>
      </c>
      <c r="B189" s="147" t="s">
        <v>1492</v>
      </c>
      <c r="C189" s="414" t="s">
        <v>1268</v>
      </c>
      <c r="D189" s="414" t="s">
        <v>1269</v>
      </c>
      <c r="E189" s="426">
        <f>IFERROR(VLOOKUP(C189,[4]Sheet1!$A:$C,3,FALSE),0)</f>
        <v>-161171406</v>
      </c>
      <c r="F189" s="426">
        <v>-200138729</v>
      </c>
      <c r="G189" s="426" t="e">
        <f>VLOOKUP(C189,[5]Hoja7!$B:$C,2,FALSE)</f>
        <v>#N/A</v>
      </c>
      <c r="H189" s="426" t="e">
        <f t="shared" si="12"/>
        <v>#N/A</v>
      </c>
      <c r="I189" s="417" t="e">
        <f>VLOOKUP(C189,[5]Hoja3!$A:$B,2,FALSE)</f>
        <v>#N/A</v>
      </c>
      <c r="J189" s="417">
        <v>0</v>
      </c>
    </row>
    <row r="190" spans="1:10" ht="13.2" x14ac:dyDescent="0.2">
      <c r="A190" s="409" t="s">
        <v>1394</v>
      </c>
      <c r="B190" s="211" t="s">
        <v>361</v>
      </c>
      <c r="C190" s="414" t="s">
        <v>1266</v>
      </c>
      <c r="D190" s="414" t="s">
        <v>1267</v>
      </c>
      <c r="E190" s="426">
        <f>IFERROR(VLOOKUP(C190,[4]Sheet1!$A:$C,3,FALSE),0)</f>
        <v>-4230358686</v>
      </c>
      <c r="F190" s="426">
        <v>-5324461638</v>
      </c>
      <c r="G190" s="426" t="e">
        <f>VLOOKUP(C190,[5]Hoja7!$B:$C,2,FALSE)</f>
        <v>#N/A</v>
      </c>
      <c r="H190" s="426" t="e">
        <f t="shared" si="12"/>
        <v>#N/A</v>
      </c>
      <c r="I190" s="417" t="e">
        <f>VLOOKUP(C190,[5]Hoja3!$A:$B,2,FALSE)</f>
        <v>#N/A</v>
      </c>
      <c r="J190" s="417">
        <v>0</v>
      </c>
    </row>
    <row r="191" spans="1:10" ht="13.2" x14ac:dyDescent="0.2">
      <c r="A191" s="409" t="s">
        <v>1394</v>
      </c>
      <c r="B191" s="211" t="s">
        <v>361</v>
      </c>
      <c r="C191" s="414" t="s">
        <v>1404</v>
      </c>
      <c r="D191" s="414" t="s">
        <v>1405</v>
      </c>
      <c r="E191" s="426">
        <f>IFERROR(VLOOKUP(C191,[4]Sheet1!$A:$C,3,FALSE),0)</f>
        <v>0</v>
      </c>
      <c r="F191" s="426">
        <v>0</v>
      </c>
      <c r="G191" s="426" t="e">
        <f>VLOOKUP(C191,[5]Hoja7!$B:$C,2,FALSE)</f>
        <v>#N/A</v>
      </c>
      <c r="H191" s="426" t="e">
        <f t="shared" si="12"/>
        <v>#N/A</v>
      </c>
      <c r="I191" s="417" t="e">
        <f>VLOOKUP(C191,[5]Hoja3!$A:$B,2,FALSE)</f>
        <v>#N/A</v>
      </c>
      <c r="J191" s="417">
        <v>0</v>
      </c>
    </row>
    <row r="192" spans="1:10" ht="13.2" x14ac:dyDescent="0.25">
      <c r="A192" s="409" t="s">
        <v>1394</v>
      </c>
      <c r="B192" s="147" t="s">
        <v>1492</v>
      </c>
      <c r="C192" s="414" t="s">
        <v>1270</v>
      </c>
      <c r="D192" s="414" t="s">
        <v>1271</v>
      </c>
      <c r="E192" s="426">
        <f>IFERROR(VLOOKUP(C192,[4]Sheet1!$A:$C,3,FALSE),0)</f>
        <v>-281989836</v>
      </c>
      <c r="F192" s="426">
        <v>-360394817</v>
      </c>
      <c r="G192" s="426" t="e">
        <f>VLOOKUP(C192,[5]Hoja7!$B:$C,2,FALSE)</f>
        <v>#N/A</v>
      </c>
      <c r="H192" s="426" t="e">
        <f t="shared" si="12"/>
        <v>#N/A</v>
      </c>
      <c r="I192" s="417" t="e">
        <f>VLOOKUP(C192,[5]Hoja3!$A:$B,2,FALSE)</f>
        <v>#N/A</v>
      </c>
      <c r="J192" s="417">
        <v>0</v>
      </c>
    </row>
    <row r="193" spans="1:10" ht="13.2" x14ac:dyDescent="0.25">
      <c r="A193" s="409" t="s">
        <v>1394</v>
      </c>
      <c r="B193" s="147" t="s">
        <v>1492</v>
      </c>
      <c r="C193" s="414" t="s">
        <v>1272</v>
      </c>
      <c r="D193" s="414" t="s">
        <v>1273</v>
      </c>
      <c r="E193" s="426">
        <f>IFERROR(VLOOKUP(C193,[4]Sheet1!$A:$C,3,FALSE),0)</f>
        <v>-65106207</v>
      </c>
      <c r="F193" s="426">
        <v>-86808279</v>
      </c>
      <c r="G193" s="426" t="e">
        <f>VLOOKUP(C193,[5]Hoja7!$B:$C,2,FALSE)</f>
        <v>#N/A</v>
      </c>
      <c r="H193" s="426" t="e">
        <f t="shared" si="12"/>
        <v>#N/A</v>
      </c>
      <c r="I193" s="417" t="e">
        <f>VLOOKUP(C193,[5]Hoja3!$A:$B,2,FALSE)</f>
        <v>#N/A</v>
      </c>
      <c r="J193" s="417">
        <v>0</v>
      </c>
    </row>
    <row r="194" spans="1:10" ht="13.2" x14ac:dyDescent="0.25">
      <c r="A194" s="409" t="s">
        <v>1394</v>
      </c>
      <c r="B194" s="147" t="s">
        <v>1492</v>
      </c>
      <c r="C194" s="414" t="s">
        <v>1274</v>
      </c>
      <c r="D194" s="414" t="s">
        <v>1275</v>
      </c>
      <c r="E194" s="426">
        <f>IFERROR(VLOOKUP(C194,[4]Sheet1!$A:$C,3,FALSE),0)</f>
        <v>-30278547</v>
      </c>
      <c r="F194" s="426">
        <v>-37164021</v>
      </c>
      <c r="G194" s="426" t="e">
        <f>VLOOKUP(C194,[5]Hoja7!$B:$C,2,FALSE)</f>
        <v>#N/A</v>
      </c>
      <c r="H194" s="426" t="e">
        <f t="shared" si="12"/>
        <v>#N/A</v>
      </c>
      <c r="I194" s="417" t="e">
        <f>VLOOKUP(C194,[5]Hoja3!$A:$B,2,FALSE)</f>
        <v>#N/A</v>
      </c>
      <c r="J194" s="417">
        <v>0</v>
      </c>
    </row>
    <row r="195" spans="1:10" ht="13.2" x14ac:dyDescent="0.25">
      <c r="A195" s="409" t="s">
        <v>1394</v>
      </c>
      <c r="B195" s="147" t="s">
        <v>1492</v>
      </c>
      <c r="C195" s="414" t="s">
        <v>1276</v>
      </c>
      <c r="D195" s="414" t="s">
        <v>1277</v>
      </c>
      <c r="E195" s="426">
        <f>IFERROR(VLOOKUP(C195,[4]Sheet1!$A:$C,3,FALSE),0)</f>
        <v>-18802818</v>
      </c>
      <c r="F195" s="426">
        <v>-25070424</v>
      </c>
      <c r="G195" s="426" t="e">
        <f>VLOOKUP(C195,[5]Hoja7!$B:$C,2,FALSE)</f>
        <v>#N/A</v>
      </c>
      <c r="H195" s="426" t="e">
        <f t="shared" si="12"/>
        <v>#N/A</v>
      </c>
      <c r="I195" s="417" t="e">
        <f>VLOOKUP(C195,[5]Hoja3!$A:$B,2,FALSE)</f>
        <v>#N/A</v>
      </c>
      <c r="J195" s="417">
        <v>0</v>
      </c>
    </row>
    <row r="196" spans="1:10" ht="13.2" x14ac:dyDescent="0.25">
      <c r="A196" s="409" t="s">
        <v>1406</v>
      </c>
      <c r="B196" s="28" t="s">
        <v>389</v>
      </c>
      <c r="C196" s="414" t="s">
        <v>1278</v>
      </c>
      <c r="D196" s="414" t="s">
        <v>1279</v>
      </c>
      <c r="E196" s="426">
        <f>IFERROR(VLOOKUP(C196,[4]Sheet1!$A:$C,3,FALSE),0)</f>
        <v>90384159</v>
      </c>
      <c r="F196" s="426">
        <v>138370109</v>
      </c>
    </row>
    <row r="197" spans="1:10" ht="13.2" x14ac:dyDescent="0.25">
      <c r="A197" s="409" t="s">
        <v>1394</v>
      </c>
      <c r="B197" s="28" t="s">
        <v>389</v>
      </c>
      <c r="C197" s="414" t="s">
        <v>1280</v>
      </c>
      <c r="D197" s="414" t="s">
        <v>1281</v>
      </c>
      <c r="E197" s="426">
        <f>IFERROR(VLOOKUP(C197,[4]Sheet1!$A:$C,3,FALSE),0)</f>
        <v>4087512</v>
      </c>
      <c r="F197" s="426">
        <v>5140398</v>
      </c>
    </row>
    <row r="198" spans="1:10" ht="13.2" x14ac:dyDescent="0.2">
      <c r="A198" s="409" t="s">
        <v>1394</v>
      </c>
      <c r="B198" s="203" t="s">
        <v>382</v>
      </c>
      <c r="C198" s="414" t="s">
        <v>1282</v>
      </c>
      <c r="D198" s="414" t="s">
        <v>1283</v>
      </c>
      <c r="E198" s="426">
        <f>IFERROR(VLOOKUP(C198,[4]Sheet1!$A:$C,3,FALSE),0)</f>
        <v>0</v>
      </c>
      <c r="F198" s="426">
        <v>-330829</v>
      </c>
    </row>
    <row r="199" spans="1:10" ht="13.2" x14ac:dyDescent="0.25">
      <c r="A199" s="409" t="s">
        <v>1406</v>
      </c>
      <c r="B199" s="28" t="s">
        <v>387</v>
      </c>
      <c r="C199" s="414" t="s">
        <v>1284</v>
      </c>
      <c r="D199" s="414" t="s">
        <v>1285</v>
      </c>
      <c r="E199" s="426">
        <f>IFERROR(VLOOKUP(C199,[4]Sheet1!$A:$C,3,FALSE),0)</f>
        <v>3714430007</v>
      </c>
      <c r="F199" s="426">
        <v>5970935900</v>
      </c>
    </row>
    <row r="200" spans="1:10" ht="13.2" x14ac:dyDescent="0.25">
      <c r="A200" s="409" t="s">
        <v>1394</v>
      </c>
      <c r="B200" s="28" t="s">
        <v>387</v>
      </c>
      <c r="C200" s="414" t="s">
        <v>1286</v>
      </c>
      <c r="D200" s="414" t="s">
        <v>1287</v>
      </c>
      <c r="E200" s="426">
        <f>IFERROR(VLOOKUP(C200,[4]Sheet1!$A:$C,3,FALSE),0)</f>
        <v>1385368101</v>
      </c>
      <c r="F200" s="426">
        <v>1698057033</v>
      </c>
    </row>
    <row r="201" spans="1:10" ht="13.2" x14ac:dyDescent="0.25">
      <c r="A201" s="409" t="s">
        <v>1394</v>
      </c>
      <c r="B201" s="28" t="s">
        <v>384</v>
      </c>
      <c r="C201" s="414" t="s">
        <v>1288</v>
      </c>
      <c r="D201" s="414" t="s">
        <v>1289</v>
      </c>
      <c r="E201" s="426">
        <f>IFERROR(VLOOKUP(C201,[4]Sheet1!$A:$C,3,FALSE),0)</f>
        <v>0</v>
      </c>
      <c r="F201" s="426">
        <v>317584545</v>
      </c>
    </row>
    <row r="202" spans="1:10" ht="13.2" x14ac:dyDescent="0.2">
      <c r="A202" s="409" t="s">
        <v>1394</v>
      </c>
      <c r="B202" s="203" t="s">
        <v>382</v>
      </c>
      <c r="C202" s="414" t="s">
        <v>1294</v>
      </c>
      <c r="D202" s="414" t="s">
        <v>1295</v>
      </c>
      <c r="E202" s="426">
        <f>IFERROR(VLOOKUP(C202,[4]Sheet1!$A:$C,3,FALSE),0)</f>
        <v>780355654</v>
      </c>
      <c r="F202" s="426">
        <v>3279567807</v>
      </c>
    </row>
    <row r="203" spans="1:10" ht="13.2" x14ac:dyDescent="0.2">
      <c r="A203" s="409" t="s">
        <v>1394</v>
      </c>
      <c r="B203" s="203" t="s">
        <v>382</v>
      </c>
      <c r="C203" s="414" t="s">
        <v>1296</v>
      </c>
      <c r="D203" s="414" t="s">
        <v>1297</v>
      </c>
      <c r="E203" s="426">
        <f>IFERROR(VLOOKUP(C203,[4]Sheet1!$A:$C,3,FALSE),0)</f>
        <v>7644000</v>
      </c>
      <c r="F203" s="426">
        <v>10308250</v>
      </c>
    </row>
    <row r="204" spans="1:10" ht="13.2" x14ac:dyDescent="0.2">
      <c r="A204" s="409" t="s">
        <v>1394</v>
      </c>
      <c r="B204" s="203" t="s">
        <v>382</v>
      </c>
      <c r="C204" s="414" t="s">
        <v>1298</v>
      </c>
      <c r="D204" s="414" t="s">
        <v>1299</v>
      </c>
      <c r="E204" s="426">
        <f>IFERROR(VLOOKUP(C204,[4]Sheet1!$A:$C,3,FALSE),0)</f>
        <v>211710255</v>
      </c>
      <c r="F204" s="426">
        <v>379210296</v>
      </c>
    </row>
    <row r="205" spans="1:10" ht="13.2" x14ac:dyDescent="0.2">
      <c r="A205" s="409" t="s">
        <v>1394</v>
      </c>
      <c r="B205" s="203" t="s">
        <v>382</v>
      </c>
      <c r="C205" s="414" t="s">
        <v>1290</v>
      </c>
      <c r="D205" s="414" t="s">
        <v>1291</v>
      </c>
      <c r="E205" s="426">
        <f>IFERROR(VLOOKUP(C205,[4]Sheet1!$A:$C,3,FALSE),0)</f>
        <v>0</v>
      </c>
      <c r="F205" s="426">
        <v>-35059754</v>
      </c>
    </row>
    <row r="206" spans="1:10" ht="13.2" x14ac:dyDescent="0.2">
      <c r="A206" s="428" t="s">
        <v>1394</v>
      </c>
      <c r="B206" s="203" t="s">
        <v>382</v>
      </c>
      <c r="C206" s="414" t="s">
        <v>1300</v>
      </c>
      <c r="D206" s="414" t="s">
        <v>1301</v>
      </c>
      <c r="E206" s="426">
        <f>IFERROR(VLOOKUP(C206,[4]Sheet1!$A:$C,3,FALSE),0)</f>
        <v>6397044</v>
      </c>
      <c r="F206" s="426">
        <v>38226801</v>
      </c>
    </row>
    <row r="207" spans="1:10" ht="13.2" x14ac:dyDescent="0.2">
      <c r="A207" s="409" t="s">
        <v>1394</v>
      </c>
      <c r="B207" s="203" t="s">
        <v>382</v>
      </c>
      <c r="C207" s="414" t="s">
        <v>1302</v>
      </c>
      <c r="D207" s="414" t="s">
        <v>1303</v>
      </c>
      <c r="E207" s="426">
        <f>IFERROR(VLOOKUP(C207,[4]Sheet1!$A:$C,3,FALSE),0)</f>
        <v>282731428</v>
      </c>
      <c r="F207" s="426">
        <v>26800453</v>
      </c>
    </row>
    <row r="208" spans="1:10" ht="13.2" x14ac:dyDescent="0.2">
      <c r="A208" s="409" t="s">
        <v>1394</v>
      </c>
      <c r="B208" s="203" t="s">
        <v>382</v>
      </c>
      <c r="C208" s="414" t="s">
        <v>1292</v>
      </c>
      <c r="D208" s="414" t="s">
        <v>1293</v>
      </c>
      <c r="E208" s="426">
        <f>IFERROR(VLOOKUP(C208,[4]Sheet1!$A:$C,3,FALSE),0)</f>
        <v>0</v>
      </c>
      <c r="F208" s="426">
        <v>1898674253</v>
      </c>
    </row>
    <row r="209" spans="1:10" ht="13.2" x14ac:dyDescent="0.2">
      <c r="A209" s="409" t="s">
        <v>1394</v>
      </c>
      <c r="B209" s="203" t="s">
        <v>382</v>
      </c>
      <c r="C209" s="414" t="s">
        <v>1304</v>
      </c>
      <c r="D209" s="414" t="s">
        <v>1305</v>
      </c>
      <c r="E209" s="426">
        <f>IFERROR(VLOOKUP(C209,[4]Sheet1!$A:$C,3,FALSE),0)</f>
        <v>177130091</v>
      </c>
      <c r="F209" s="426">
        <v>1007124168</v>
      </c>
    </row>
    <row r="210" spans="1:10" ht="13.2" x14ac:dyDescent="0.2">
      <c r="A210" s="409" t="s">
        <v>1394</v>
      </c>
      <c r="B210" s="203" t="s">
        <v>382</v>
      </c>
      <c r="C210" s="414" t="s">
        <v>1306</v>
      </c>
      <c r="D210" s="414" t="s">
        <v>1307</v>
      </c>
      <c r="E210" s="426">
        <f>IFERROR(VLOOKUP(C210,[4]Sheet1!$A:$C,3,FALSE),0)</f>
        <v>0</v>
      </c>
      <c r="F210" s="426">
        <v>712198176</v>
      </c>
    </row>
    <row r="211" spans="1:10" ht="13.2" x14ac:dyDescent="0.2">
      <c r="A211" s="409" t="s">
        <v>1394</v>
      </c>
      <c r="B211" s="203" t="s">
        <v>382</v>
      </c>
      <c r="C211" s="414" t="s">
        <v>1308</v>
      </c>
      <c r="D211" s="414" t="s">
        <v>1309</v>
      </c>
      <c r="E211" s="426">
        <f>IFERROR(VLOOKUP(C211,[4]Sheet1!$A:$C,3,FALSE),0)</f>
        <v>0</v>
      </c>
      <c r="F211" s="426">
        <v>614249</v>
      </c>
    </row>
    <row r="212" spans="1:10" ht="13.2" x14ac:dyDescent="0.2">
      <c r="A212" s="409" t="s">
        <v>1394</v>
      </c>
      <c r="B212" s="203" t="s">
        <v>382</v>
      </c>
      <c r="C212" s="414" t="s">
        <v>1310</v>
      </c>
      <c r="D212" s="414" t="s">
        <v>1311</v>
      </c>
      <c r="E212" s="426">
        <f>IFERROR(VLOOKUP(C212,[4]Sheet1!$A:$C,3,FALSE),0)</f>
        <v>-414649936</v>
      </c>
      <c r="F212" s="426">
        <v>-135791095</v>
      </c>
    </row>
    <row r="213" spans="1:10" ht="13.2" x14ac:dyDescent="0.2">
      <c r="A213" s="409" t="s">
        <v>1394</v>
      </c>
      <c r="B213" s="203" t="s">
        <v>387</v>
      </c>
      <c r="C213" s="414" t="s">
        <v>1312</v>
      </c>
      <c r="D213" s="414" t="s">
        <v>1313</v>
      </c>
      <c r="E213" s="426">
        <f>IFERROR(VLOOKUP(C213,[4]Sheet1!$A:$C,3,FALSE),0)</f>
        <v>10585703</v>
      </c>
      <c r="F213" s="426">
        <v>24570058</v>
      </c>
    </row>
    <row r="214" spans="1:10" ht="13.2" x14ac:dyDescent="0.2">
      <c r="A214" s="409" t="s">
        <v>1406</v>
      </c>
      <c r="B214" s="203" t="s">
        <v>388</v>
      </c>
      <c r="C214" s="414" t="s">
        <v>1314</v>
      </c>
      <c r="D214" s="414" t="s">
        <v>1315</v>
      </c>
      <c r="E214" s="426">
        <f>IFERROR(VLOOKUP(C214,[4]Sheet1!$A:$C,3,FALSE),0)</f>
        <v>-3474369386</v>
      </c>
      <c r="F214" s="426">
        <v>-4302425548</v>
      </c>
    </row>
    <row r="215" spans="1:10" ht="13.2" x14ac:dyDescent="0.2">
      <c r="A215" s="409" t="s">
        <v>1406</v>
      </c>
      <c r="B215" s="203" t="s">
        <v>388</v>
      </c>
      <c r="C215" s="414" t="s">
        <v>1511</v>
      </c>
      <c r="D215" s="414" t="s">
        <v>479</v>
      </c>
      <c r="E215" s="426">
        <f>IFERROR(VLOOKUP(C215,[4]Sheet1!$A:$C,3,FALSE),0)</f>
        <v>-81072</v>
      </c>
      <c r="F215" s="426">
        <v>0</v>
      </c>
    </row>
    <row r="216" spans="1:10" ht="13.2" x14ac:dyDescent="0.2">
      <c r="A216" s="409" t="s">
        <v>1394</v>
      </c>
      <c r="B216" s="203" t="s">
        <v>382</v>
      </c>
      <c r="C216" s="414" t="s">
        <v>1407</v>
      </c>
      <c r="D216" s="414" t="s">
        <v>1408</v>
      </c>
      <c r="E216" s="426">
        <f>IFERROR(VLOOKUP(C216,[4]Sheet1!$A:$C,3,FALSE),0)</f>
        <v>0</v>
      </c>
      <c r="F216" s="426">
        <v>0</v>
      </c>
    </row>
    <row r="217" spans="1:10" ht="13.2" x14ac:dyDescent="0.2">
      <c r="A217" s="409" t="s">
        <v>1406</v>
      </c>
      <c r="B217" s="203" t="s">
        <v>387</v>
      </c>
      <c r="C217" s="414" t="s">
        <v>1316</v>
      </c>
      <c r="D217" s="414" t="s">
        <v>1317</v>
      </c>
      <c r="E217" s="426">
        <f>IFERROR(VLOOKUP(C217,[4]Sheet1!$A:$C,3,FALSE),0)</f>
        <v>-4068055249</v>
      </c>
      <c r="F217" s="426">
        <v>-8323691912</v>
      </c>
    </row>
    <row r="218" spans="1:10" ht="13.2" x14ac:dyDescent="0.25">
      <c r="A218" s="409" t="s">
        <v>1394</v>
      </c>
      <c r="B218" s="28" t="s">
        <v>390</v>
      </c>
      <c r="C218" s="414" t="s">
        <v>1318</v>
      </c>
      <c r="D218" s="414" t="s">
        <v>1319</v>
      </c>
      <c r="E218" s="426">
        <f>IFERROR(VLOOKUP(C218,[4]Sheet1!$A:$C,3,FALSE),0)</f>
        <v>0</v>
      </c>
      <c r="F218" s="426">
        <v>-24000</v>
      </c>
    </row>
    <row r="219" spans="1:10" ht="13.2" x14ac:dyDescent="0.25">
      <c r="A219" s="409" t="s">
        <v>1394</v>
      </c>
      <c r="B219" s="28" t="s">
        <v>390</v>
      </c>
      <c r="C219" s="414" t="s">
        <v>1320</v>
      </c>
      <c r="D219" s="414" t="s">
        <v>1321</v>
      </c>
      <c r="E219" s="426">
        <f>IFERROR(VLOOKUP(C219,[4]Sheet1!$A:$C,3,FALSE),0)</f>
        <v>-119555088</v>
      </c>
      <c r="F219" s="426">
        <v>-591002762</v>
      </c>
      <c r="G219" s="426" t="e">
        <f>VLOOKUP(C219,[5]Hoja7!$B:$C,2,FALSE)</f>
        <v>#N/A</v>
      </c>
      <c r="H219" s="426" t="e">
        <f>+F219-G219</f>
        <v>#N/A</v>
      </c>
      <c r="I219" s="417">
        <f>VLOOKUP(C219,[5]Hoja3!$A:$B,2,FALSE)</f>
        <v>591002762</v>
      </c>
      <c r="J219" s="417">
        <f>+E219+I219</f>
        <v>471447674</v>
      </c>
    </row>
    <row r="220" spans="1:10" ht="13.2" x14ac:dyDescent="0.25">
      <c r="A220" s="409" t="s">
        <v>1394</v>
      </c>
      <c r="B220" s="28" t="s">
        <v>388</v>
      </c>
      <c r="C220" s="414" t="s">
        <v>1322</v>
      </c>
      <c r="D220" s="414" t="s">
        <v>1323</v>
      </c>
      <c r="E220" s="426">
        <f>IFERROR(VLOOKUP(C220,[4]Sheet1!$A:$C,3,FALSE),0)</f>
        <v>-4663637852</v>
      </c>
      <c r="F220" s="426">
        <v>-485603406</v>
      </c>
    </row>
    <row r="221" spans="1:10" ht="13.2" x14ac:dyDescent="0.25">
      <c r="A221" s="409" t="s">
        <v>1394</v>
      </c>
      <c r="B221" s="28" t="s">
        <v>390</v>
      </c>
      <c r="C221" s="414" t="s">
        <v>1490</v>
      </c>
      <c r="D221" s="414" t="s">
        <v>1491</v>
      </c>
      <c r="E221" s="426">
        <f>IFERROR(VLOOKUP(C221,[4]Sheet1!$A:$C,3,FALSE),0)</f>
        <v>-195816416</v>
      </c>
      <c r="F221" s="426">
        <v>0</v>
      </c>
    </row>
    <row r="222" spans="1:10" ht="13.2" x14ac:dyDescent="0.2">
      <c r="A222" s="409" t="s">
        <v>1394</v>
      </c>
      <c r="B222" s="203" t="s">
        <v>382</v>
      </c>
      <c r="C222" s="414" t="s">
        <v>1324</v>
      </c>
      <c r="D222" s="414" t="s">
        <v>1325</v>
      </c>
      <c r="E222" s="426">
        <f>IFERROR(VLOOKUP(C222,[4]Sheet1!$A:$C,3,FALSE),0)</f>
        <v>0</v>
      </c>
      <c r="F222" s="426">
        <v>-184791</v>
      </c>
    </row>
    <row r="223" spans="1:10" ht="13.2" x14ac:dyDescent="0.2">
      <c r="A223" s="409" t="s">
        <v>1394</v>
      </c>
      <c r="B223" s="203" t="s">
        <v>382</v>
      </c>
      <c r="C223" s="414" t="s">
        <v>1326</v>
      </c>
      <c r="D223" s="528" t="s">
        <v>1327</v>
      </c>
      <c r="E223" s="426">
        <f>IFERROR(VLOOKUP(C223,[4]Sheet1!$A:$C,3,FALSE),0)</f>
        <v>-213958931</v>
      </c>
      <c r="F223" s="426">
        <v>-2021886365</v>
      </c>
    </row>
    <row r="224" spans="1:10" ht="13.2" x14ac:dyDescent="0.2">
      <c r="A224" s="409" t="s">
        <v>1394</v>
      </c>
      <c r="B224" s="203" t="s">
        <v>382</v>
      </c>
      <c r="C224" s="414" t="s">
        <v>1409</v>
      </c>
      <c r="D224" s="414" t="s">
        <v>1410</v>
      </c>
      <c r="E224" s="426">
        <f>IFERROR(VLOOKUP(C224,[4]Sheet1!$A:$C,3,FALSE),0)</f>
        <v>0</v>
      </c>
      <c r="F224" s="426">
        <v>0</v>
      </c>
    </row>
    <row r="225" spans="1:6" ht="13.2" x14ac:dyDescent="0.2">
      <c r="A225" s="409" t="s">
        <v>1394</v>
      </c>
      <c r="B225" s="203" t="s">
        <v>382</v>
      </c>
      <c r="C225" s="414" t="s">
        <v>1328</v>
      </c>
      <c r="D225" s="414" t="s">
        <v>1329</v>
      </c>
      <c r="E225" s="426">
        <f>IFERROR(VLOOKUP(C225,[4]Sheet1!$A:$C,3,FALSE),0)</f>
        <v>-334377295</v>
      </c>
      <c r="F225" s="426">
        <v>-327396890</v>
      </c>
    </row>
    <row r="226" spans="1:6" ht="13.2" x14ac:dyDescent="0.2">
      <c r="A226" s="409" t="s">
        <v>1394</v>
      </c>
      <c r="B226" s="203" t="s">
        <v>382</v>
      </c>
      <c r="C226" s="414" t="s">
        <v>1411</v>
      </c>
      <c r="D226" s="414" t="s">
        <v>1412</v>
      </c>
      <c r="E226" s="426">
        <f>IFERROR(VLOOKUP(C226,[4]Sheet1!$A:$C,3,FALSE),0)</f>
        <v>0</v>
      </c>
      <c r="F226" s="426">
        <v>0</v>
      </c>
    </row>
    <row r="227" spans="1:6" ht="13.2" x14ac:dyDescent="0.2">
      <c r="A227" s="409" t="s">
        <v>1394</v>
      </c>
      <c r="B227" s="203" t="s">
        <v>382</v>
      </c>
      <c r="C227" s="414" t="s">
        <v>1330</v>
      </c>
      <c r="D227" s="414" t="s">
        <v>1331</v>
      </c>
      <c r="E227" s="426">
        <f>IFERROR(VLOOKUP(C227,[4]Sheet1!$A:$C,3,FALSE),0)</f>
        <v>0</v>
      </c>
      <c r="F227" s="426">
        <v>-1486256069</v>
      </c>
    </row>
    <row r="228" spans="1:6" ht="13.2" x14ac:dyDescent="0.25">
      <c r="A228" s="409" t="s">
        <v>1394</v>
      </c>
      <c r="B228" s="28" t="s">
        <v>384</v>
      </c>
      <c r="C228" s="414" t="s">
        <v>1413</v>
      </c>
      <c r="D228" s="414" t="s">
        <v>1414</v>
      </c>
      <c r="E228" s="426">
        <f>IFERROR(VLOOKUP(C228,[4]Sheet1!$A:$C,3,FALSE),0)</f>
        <v>0</v>
      </c>
      <c r="F228" s="426">
        <v>0</v>
      </c>
    </row>
    <row r="229" spans="1:6" ht="13.2" x14ac:dyDescent="0.2">
      <c r="A229" s="409" t="s">
        <v>1394</v>
      </c>
      <c r="B229" s="203" t="s">
        <v>382</v>
      </c>
      <c r="C229" s="414" t="s">
        <v>1332</v>
      </c>
      <c r="D229" s="414" t="s">
        <v>1333</v>
      </c>
      <c r="E229" s="426">
        <f>IFERROR(VLOOKUP(C229,[4]Sheet1!$A:$C,3,FALSE),0)</f>
        <v>49370552</v>
      </c>
      <c r="F229" s="426">
        <v>-1287134731</v>
      </c>
    </row>
    <row r="230" spans="1:6" ht="13.2" x14ac:dyDescent="0.2">
      <c r="A230" s="409" t="s">
        <v>1394</v>
      </c>
      <c r="B230" s="203" t="s">
        <v>382</v>
      </c>
      <c r="C230" s="414" t="s">
        <v>1334</v>
      </c>
      <c r="D230" s="414" t="s">
        <v>1335</v>
      </c>
      <c r="E230" s="426">
        <f>IFERROR(VLOOKUP(C230,[4]Sheet1!$A:$C,3,FALSE),0)</f>
        <v>0</v>
      </c>
      <c r="F230" s="426">
        <v>-6271717</v>
      </c>
    </row>
    <row r="231" spans="1:6" ht="13.2" x14ac:dyDescent="0.25">
      <c r="A231" s="409" t="s">
        <v>1394</v>
      </c>
      <c r="B231" s="28" t="s">
        <v>387</v>
      </c>
      <c r="C231" s="414" t="s">
        <v>1336</v>
      </c>
      <c r="D231" s="414" t="s">
        <v>1337</v>
      </c>
      <c r="E231" s="426">
        <f>IFERROR(VLOOKUP(C231,[4]Sheet1!$A:$C,3,FALSE),0)</f>
        <v>-281329</v>
      </c>
      <c r="F231" s="426">
        <v>-291046</v>
      </c>
    </row>
    <row r="232" spans="1:6" ht="13.2" x14ac:dyDescent="0.2">
      <c r="A232" s="409" t="s">
        <v>1394</v>
      </c>
      <c r="B232" s="203" t="s">
        <v>382</v>
      </c>
      <c r="C232" s="414" t="s">
        <v>1338</v>
      </c>
      <c r="D232" s="414" t="s">
        <v>1339</v>
      </c>
      <c r="E232" s="426">
        <f>IFERROR(VLOOKUP(C232,[4]Sheet1!$A:$C,3,FALSE),0)</f>
        <v>0</v>
      </c>
      <c r="F232" s="426">
        <v>315146</v>
      </c>
    </row>
    <row r="233" spans="1:6" ht="13.2" x14ac:dyDescent="0.2">
      <c r="A233" s="409" t="s">
        <v>1394</v>
      </c>
      <c r="B233" s="203" t="s">
        <v>382</v>
      </c>
      <c r="C233" s="414" t="s">
        <v>1340</v>
      </c>
      <c r="D233" s="414" t="s">
        <v>1341</v>
      </c>
      <c r="E233" s="426">
        <f>IFERROR(VLOOKUP(C233,[4]Sheet1!$A:$C,3,FALSE),0)</f>
        <v>-8919595</v>
      </c>
      <c r="F233" s="426">
        <v>-33983337</v>
      </c>
    </row>
    <row r="234" spans="1:6" ht="13.2" x14ac:dyDescent="0.25">
      <c r="A234" s="409" t="s">
        <v>1394</v>
      </c>
      <c r="B234" s="28" t="s">
        <v>387</v>
      </c>
      <c r="C234" s="414" t="s">
        <v>1342</v>
      </c>
      <c r="D234" s="414" t="s">
        <v>1343</v>
      </c>
      <c r="E234" s="426">
        <f>IFERROR(VLOOKUP(C234,[4]Sheet1!$A:$C,3,FALSE),0)</f>
        <v>-58065303</v>
      </c>
      <c r="F234" s="426">
        <v>-24199967</v>
      </c>
    </row>
    <row r="235" spans="1:6" ht="13.2" x14ac:dyDescent="0.2">
      <c r="A235" s="409" t="s">
        <v>1394</v>
      </c>
      <c r="B235" s="203" t="s">
        <v>382</v>
      </c>
      <c r="C235" s="414" t="s">
        <v>1415</v>
      </c>
      <c r="D235" s="414" t="s">
        <v>1416</v>
      </c>
      <c r="E235" s="426">
        <f>IFERROR(VLOOKUP(C235,[4]Sheet1!$A:$C,3,FALSE),0)</f>
        <v>0</v>
      </c>
      <c r="F235" s="426">
        <v>0</v>
      </c>
    </row>
    <row r="236" spans="1:6" ht="13.2" x14ac:dyDescent="0.25">
      <c r="A236" s="409" t="s">
        <v>1394</v>
      </c>
      <c r="B236" s="147" t="s">
        <v>385</v>
      </c>
      <c r="C236" s="414" t="s">
        <v>1344</v>
      </c>
      <c r="D236" s="414" t="s">
        <v>1345</v>
      </c>
      <c r="E236" s="426">
        <f>IFERROR(VLOOKUP(C236,[4]Sheet1!$A:$C,3,FALSE),0)</f>
        <v>0</v>
      </c>
      <c r="F236" s="426">
        <v>-550425101</v>
      </c>
    </row>
    <row r="237" spans="1:6" ht="13.2" x14ac:dyDescent="0.2">
      <c r="A237" s="409" t="s">
        <v>1394</v>
      </c>
      <c r="B237" s="203" t="s">
        <v>382</v>
      </c>
      <c r="C237" s="414" t="s">
        <v>1346</v>
      </c>
      <c r="D237" s="414" t="s">
        <v>1347</v>
      </c>
      <c r="E237" s="426">
        <f>IFERROR(VLOOKUP(C237,[4]Sheet1!$A:$C,3,FALSE),0)</f>
        <v>-10922968</v>
      </c>
      <c r="F237" s="426">
        <v>204983</v>
      </c>
    </row>
    <row r="238" spans="1:6" x14ac:dyDescent="0.2">
      <c r="A238" s="429" t="s">
        <v>109</v>
      </c>
      <c r="B238" s="429" t="s">
        <v>109</v>
      </c>
      <c r="C238" s="414" t="s">
        <v>1348</v>
      </c>
      <c r="D238" s="414" t="s">
        <v>1349</v>
      </c>
      <c r="E238" s="426">
        <f>IFERROR(VLOOKUP(C238,[4]Sheet1!$A:$C,3,FALSE),0)</f>
        <v>-346910808.60000002</v>
      </c>
      <c r="F238" s="426">
        <v>-846739433</v>
      </c>
    </row>
    <row r="239" spans="1:6" x14ac:dyDescent="0.2">
      <c r="C239" s="414"/>
      <c r="D239" s="414"/>
      <c r="E239" s="426"/>
      <c r="F239" s="426"/>
    </row>
    <row r="241" spans="4:11" x14ac:dyDescent="0.2">
      <c r="D241" s="430" t="s">
        <v>332</v>
      </c>
      <c r="E241" s="431">
        <f>SUM(E4:E238)</f>
        <v>3122197277.4000001</v>
      </c>
      <c r="F241" s="431">
        <v>5718723977</v>
      </c>
      <c r="G241" s="426">
        <f>+'[3]2022'!E178</f>
        <v>5718723977</v>
      </c>
      <c r="H241" s="426">
        <f>+E241-G241</f>
        <v>-2596526699.5999999</v>
      </c>
      <c r="J241" s="413" t="e">
        <f>SUBTOTAL(9,J80:J219)</f>
        <v>#N/A</v>
      </c>
      <c r="K241" s="418" t="e">
        <f>-J241/1000</f>
        <v>#N/A</v>
      </c>
    </row>
    <row r="242" spans="4:11" x14ac:dyDescent="0.2">
      <c r="E242" s="413">
        <v>0</v>
      </c>
    </row>
    <row r="244" spans="4:11" x14ac:dyDescent="0.2">
      <c r="E244" s="431"/>
      <c r="F244" s="431"/>
      <c r="K244" s="418">
        <v>1122753.1200000001</v>
      </c>
    </row>
    <row r="245" spans="4:11" x14ac:dyDescent="0.2">
      <c r="E245" s="563">
        <f>+'Nota 13'!B9</f>
        <v>3122197277.4000001</v>
      </c>
    </row>
    <row r="247" spans="4:11" x14ac:dyDescent="0.2">
      <c r="E247" s="568">
        <f>+E241-E245</f>
        <v>0</v>
      </c>
    </row>
  </sheetData>
  <autoFilter ref="A3:H239" xr:uid="{1868950E-2A36-4AF7-B23A-B6F21968A73D}"/>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C71095-CD02-AF42-923E-DF8A19B089B0}">
  <sheetPr>
    <tabColor theme="4" tint="0.39997558519241921"/>
  </sheetPr>
  <dimension ref="A1:J44"/>
  <sheetViews>
    <sheetView showGridLines="0" zoomScale="98" workbookViewId="0">
      <selection activeCell="G20" sqref="G20"/>
    </sheetView>
  </sheetViews>
  <sheetFormatPr baseColWidth="10" defaultColWidth="11.5" defaultRowHeight="14.4" x14ac:dyDescent="0.3"/>
  <cols>
    <col min="1" max="1" width="42" style="145" customWidth="1"/>
    <col min="2" max="2" width="6.8984375" style="145" customWidth="1"/>
    <col min="3" max="3" width="15.8984375" style="208" customWidth="1"/>
    <col min="4" max="4" width="6.8984375" style="145" customWidth="1"/>
    <col min="5" max="5" width="15.8984375" style="145" customWidth="1"/>
    <col min="6" max="7" width="11.5" style="145"/>
    <col min="8" max="8" width="15" style="145" bestFit="1" customWidth="1"/>
    <col min="9" max="9" width="14.69921875" style="145" bestFit="1" customWidth="1"/>
    <col min="10" max="10" width="13.59765625" style="145" bestFit="1" customWidth="1"/>
    <col min="11" max="16384" width="11.5" style="145"/>
  </cols>
  <sheetData>
    <row r="1" spans="1:7" x14ac:dyDescent="0.3">
      <c r="A1" s="622" t="s">
        <v>201</v>
      </c>
      <c r="B1" s="622"/>
      <c r="C1" s="622"/>
      <c r="D1" s="622"/>
      <c r="E1" s="622"/>
      <c r="F1" s="49" t="s">
        <v>118</v>
      </c>
      <c r="G1" s="164"/>
    </row>
    <row r="2" spans="1:7" x14ac:dyDescent="0.3">
      <c r="A2" s="623" t="s">
        <v>1547</v>
      </c>
      <c r="B2" s="623"/>
      <c r="C2" s="623"/>
      <c r="D2" s="623"/>
      <c r="E2" s="623"/>
    </row>
    <row r="3" spans="1:7" x14ac:dyDescent="0.3">
      <c r="A3" s="194"/>
      <c r="B3" s="194"/>
      <c r="C3" s="540"/>
      <c r="D3" s="194"/>
      <c r="E3" s="194"/>
    </row>
    <row r="4" spans="1:7" ht="20.399999999999999" x14ac:dyDescent="0.3">
      <c r="A4" s="624" t="s">
        <v>1546</v>
      </c>
      <c r="B4" s="624"/>
      <c r="C4" s="624"/>
      <c r="D4" s="624"/>
      <c r="E4" s="624"/>
    </row>
    <row r="5" spans="1:7" ht="20.399999999999999" x14ac:dyDescent="0.3">
      <c r="A5" s="195"/>
      <c r="B5" s="195"/>
      <c r="C5" s="541"/>
      <c r="D5" s="195"/>
      <c r="E5" s="195"/>
    </row>
    <row r="6" spans="1:7" ht="20.399999999999999" x14ac:dyDescent="0.3">
      <c r="A6" s="99" t="s">
        <v>202</v>
      </c>
      <c r="B6" s="100"/>
      <c r="C6" s="542"/>
      <c r="D6" s="100"/>
      <c r="E6" s="100"/>
    </row>
    <row r="7" spans="1:7" ht="20.399999999999999" x14ac:dyDescent="0.3">
      <c r="A7" s="99"/>
      <c r="B7" s="100"/>
      <c r="C7" s="542"/>
      <c r="D7" s="100"/>
      <c r="E7" s="100"/>
    </row>
    <row r="8" spans="1:7" x14ac:dyDescent="0.3">
      <c r="A8" s="196"/>
      <c r="B8" s="103" t="s">
        <v>203</v>
      </c>
      <c r="C8" s="543" t="s">
        <v>1534</v>
      </c>
      <c r="D8" s="103"/>
      <c r="E8" s="104" t="s">
        <v>478</v>
      </c>
    </row>
    <row r="9" spans="1:7" x14ac:dyDescent="0.3">
      <c r="A9" s="197" t="s">
        <v>333</v>
      </c>
      <c r="B9" s="108"/>
      <c r="C9" s="544"/>
      <c r="D9" s="108"/>
      <c r="E9" s="108"/>
    </row>
    <row r="10" spans="1:7" x14ac:dyDescent="0.3">
      <c r="A10" s="198" t="s">
        <v>334</v>
      </c>
      <c r="B10" s="110">
        <v>14</v>
      </c>
      <c r="C10" s="199">
        <f>+'Nota 14'!B14</f>
        <v>155386942077</v>
      </c>
      <c r="D10" s="108"/>
      <c r="E10" s="199">
        <v>212692607911</v>
      </c>
    </row>
    <row r="11" spans="1:7" x14ac:dyDescent="0.3">
      <c r="A11" s="198" t="s">
        <v>335</v>
      </c>
      <c r="B11" s="110">
        <v>15</v>
      </c>
      <c r="C11" s="199">
        <f>-'Nota 15'!B19</f>
        <v>-128591385220</v>
      </c>
      <c r="D11" s="108"/>
      <c r="E11" s="199">
        <v>-186597090308</v>
      </c>
    </row>
    <row r="12" spans="1:7" x14ac:dyDescent="0.3">
      <c r="A12" s="200" t="s">
        <v>336</v>
      </c>
      <c r="B12" s="108"/>
      <c r="C12" s="545">
        <f>SUM(C10:C11)</f>
        <v>26795556857</v>
      </c>
      <c r="D12" s="108"/>
      <c r="E12" s="201">
        <f>SUM(E10:E11)</f>
        <v>26095517603</v>
      </c>
    </row>
    <row r="13" spans="1:7" x14ac:dyDescent="0.3">
      <c r="A13" s="198"/>
      <c r="B13" s="108"/>
      <c r="C13" s="546"/>
      <c r="D13" s="108"/>
      <c r="E13" s="202"/>
    </row>
    <row r="14" spans="1:7" x14ac:dyDescent="0.3">
      <c r="A14" s="198" t="s">
        <v>337</v>
      </c>
      <c r="B14" s="108"/>
      <c r="C14" s="544"/>
      <c r="D14" s="108"/>
      <c r="E14" s="108"/>
    </row>
    <row r="15" spans="1:7" x14ac:dyDescent="0.3">
      <c r="A15" s="203" t="s">
        <v>338</v>
      </c>
      <c r="B15" s="110">
        <v>16</v>
      </c>
      <c r="C15" s="199">
        <f>-'Nota 16'!B9</f>
        <v>-5773276816</v>
      </c>
      <c r="D15" s="108"/>
      <c r="E15" s="199">
        <v>-7874937638</v>
      </c>
    </row>
    <row r="16" spans="1:7" x14ac:dyDescent="0.3">
      <c r="A16" s="203" t="s">
        <v>377</v>
      </c>
      <c r="B16" s="110">
        <v>17</v>
      </c>
      <c r="C16" s="199">
        <f>-'Nota 17'!B4</f>
        <v>-5539707249</v>
      </c>
      <c r="D16" s="108"/>
      <c r="E16" s="199">
        <v>-2391108010</v>
      </c>
    </row>
    <row r="17" spans="1:10" x14ac:dyDescent="0.3">
      <c r="A17" s="203" t="s">
        <v>1494</v>
      </c>
      <c r="B17" s="110">
        <v>17</v>
      </c>
      <c r="C17" s="199">
        <f>-'Nota 17'!B5</f>
        <v>-2193474978</v>
      </c>
      <c r="D17" s="108"/>
      <c r="E17" s="199">
        <v>0</v>
      </c>
    </row>
    <row r="18" spans="1:10" x14ac:dyDescent="0.3">
      <c r="A18" s="203" t="s">
        <v>378</v>
      </c>
      <c r="B18" s="110">
        <v>17</v>
      </c>
      <c r="C18" s="199">
        <f>-'Nota 17'!B6</f>
        <v>-1200662999</v>
      </c>
      <c r="D18" s="108"/>
      <c r="E18" s="199">
        <v>-1174609075</v>
      </c>
    </row>
    <row r="19" spans="1:10" x14ac:dyDescent="0.3">
      <c r="A19" s="203" t="s">
        <v>379</v>
      </c>
      <c r="B19" s="110">
        <v>17</v>
      </c>
      <c r="C19" s="199">
        <f>-'Nota 17'!B7</f>
        <v>-549545463</v>
      </c>
      <c r="D19" s="108"/>
      <c r="E19" s="199">
        <v>-776818190</v>
      </c>
    </row>
    <row r="20" spans="1:10" x14ac:dyDescent="0.3">
      <c r="A20" s="203" t="s">
        <v>381</v>
      </c>
      <c r="B20" s="110">
        <v>17</v>
      </c>
      <c r="C20" s="199">
        <f>-'Nota 17'!B8</f>
        <v>-343144393</v>
      </c>
      <c r="D20" s="108"/>
      <c r="E20" s="199">
        <v>-444299634</v>
      </c>
    </row>
    <row r="21" spans="1:10" x14ac:dyDescent="0.3">
      <c r="A21" s="203" t="s">
        <v>380</v>
      </c>
      <c r="B21" s="110">
        <v>17</v>
      </c>
      <c r="C21" s="199">
        <f>-'Nota 17'!B9</f>
        <v>-409083901</v>
      </c>
      <c r="D21" s="108"/>
      <c r="E21" s="199">
        <v>-438389869</v>
      </c>
    </row>
    <row r="22" spans="1:10" x14ac:dyDescent="0.3">
      <c r="A22" s="203" t="s">
        <v>382</v>
      </c>
      <c r="B22" s="110">
        <v>17</v>
      </c>
      <c r="C22" s="199">
        <f>-'Nota 17'!B10</f>
        <v>57453241</v>
      </c>
      <c r="D22" s="108"/>
      <c r="E22" s="199">
        <v>-130230542</v>
      </c>
    </row>
    <row r="23" spans="1:10" x14ac:dyDescent="0.3">
      <c r="A23" s="105"/>
      <c r="B23" s="108"/>
      <c r="C23" s="204">
        <f>SUM(C15:C22)</f>
        <v>-15951442558</v>
      </c>
      <c r="D23" s="108"/>
      <c r="E23" s="204">
        <f>SUM(E15:E22)</f>
        <v>-13230392958</v>
      </c>
    </row>
    <row r="24" spans="1:10" x14ac:dyDescent="0.3">
      <c r="A24" s="105"/>
      <c r="B24" s="108"/>
      <c r="C24" s="544"/>
      <c r="D24" s="108"/>
      <c r="E24" s="108"/>
    </row>
    <row r="25" spans="1:10" x14ac:dyDescent="0.3">
      <c r="A25" s="359" t="s">
        <v>507</v>
      </c>
      <c r="B25" s="108"/>
      <c r="C25" s="544"/>
      <c r="D25" s="108"/>
      <c r="E25" s="108"/>
    </row>
    <row r="26" spans="1:10" x14ac:dyDescent="0.3">
      <c r="A26" s="359" t="s">
        <v>384</v>
      </c>
      <c r="B26" s="110">
        <v>18</v>
      </c>
      <c r="C26" s="199">
        <f>+'Nota 18'!B4</f>
        <v>0</v>
      </c>
      <c r="D26" s="108"/>
      <c r="E26" s="199">
        <v>317584545</v>
      </c>
    </row>
    <row r="27" spans="1:10" x14ac:dyDescent="0.3">
      <c r="A27" s="359" t="s">
        <v>518</v>
      </c>
      <c r="B27" s="110">
        <v>18</v>
      </c>
      <c r="C27" s="205">
        <f>+'Nota 18'!B5</f>
        <v>0</v>
      </c>
      <c r="D27" s="108"/>
      <c r="E27" s="205">
        <v>-550425101</v>
      </c>
    </row>
    <row r="28" spans="1:10" x14ac:dyDescent="0.3">
      <c r="A28" s="198"/>
      <c r="B28" s="108"/>
      <c r="C28" s="199">
        <f>SUM(C26:C27)</f>
        <v>0</v>
      </c>
      <c r="D28" s="108"/>
      <c r="E28" s="199">
        <v>-232840556</v>
      </c>
      <c r="I28" s="571"/>
      <c r="J28" s="208"/>
    </row>
    <row r="29" spans="1:10" x14ac:dyDescent="0.3">
      <c r="A29" s="198"/>
      <c r="B29" s="108"/>
      <c r="C29" s="544"/>
      <c r="D29" s="108"/>
      <c r="E29" s="108"/>
      <c r="I29" s="571"/>
    </row>
    <row r="30" spans="1:10" x14ac:dyDescent="0.3">
      <c r="A30" s="198" t="s">
        <v>339</v>
      </c>
      <c r="B30" s="108"/>
      <c r="C30" s="544"/>
      <c r="D30" s="108"/>
      <c r="E30" s="108"/>
      <c r="I30" s="572"/>
    </row>
    <row r="31" spans="1:10" x14ac:dyDescent="0.3">
      <c r="A31" s="198" t="s">
        <v>389</v>
      </c>
      <c r="B31" s="110">
        <v>19</v>
      </c>
      <c r="C31" s="199">
        <f>+'Nota 19'!B4</f>
        <v>94471671</v>
      </c>
      <c r="D31" s="108"/>
      <c r="E31" s="199">
        <v>143510507</v>
      </c>
    </row>
    <row r="32" spans="1:10" x14ac:dyDescent="0.3">
      <c r="A32" s="198" t="s">
        <v>388</v>
      </c>
      <c r="B32" s="110">
        <v>19</v>
      </c>
      <c r="C32" s="199">
        <f>+'Nota 19'!B5</f>
        <v>-8138088310</v>
      </c>
      <c r="D32" s="108"/>
      <c r="E32" s="199">
        <v>-4788028954</v>
      </c>
    </row>
    <row r="33" spans="1:8" x14ac:dyDescent="0.3">
      <c r="A33" s="198" t="s">
        <v>390</v>
      </c>
      <c r="B33" s="110">
        <v>19</v>
      </c>
      <c r="C33" s="199">
        <f>+'Nota 19'!B6</f>
        <v>-315371504</v>
      </c>
      <c r="D33" s="108"/>
      <c r="E33" s="199">
        <v>-768178327</v>
      </c>
    </row>
    <row r="34" spans="1:8" x14ac:dyDescent="0.3">
      <c r="A34" s="198" t="s">
        <v>387</v>
      </c>
      <c r="B34" s="110">
        <v>19</v>
      </c>
      <c r="C34" s="199">
        <f>+'Nota 19'!B7</f>
        <v>983981930</v>
      </c>
      <c r="D34" s="108"/>
      <c r="E34" s="199">
        <v>-654123905</v>
      </c>
    </row>
    <row r="35" spans="1:8" x14ac:dyDescent="0.3">
      <c r="A35" s="198"/>
      <c r="B35" s="108"/>
      <c r="C35" s="204">
        <f>SUM(C31:C34)</f>
        <v>-7375006213</v>
      </c>
      <c r="D35" s="108"/>
      <c r="E35" s="204">
        <f>SUM(E31:E34)</f>
        <v>-6066820679</v>
      </c>
    </row>
    <row r="36" spans="1:8" x14ac:dyDescent="0.3">
      <c r="A36" s="198"/>
      <c r="B36" s="108"/>
      <c r="C36" s="544"/>
      <c r="D36" s="108"/>
      <c r="E36" s="108"/>
      <c r="H36" s="208"/>
    </row>
    <row r="37" spans="1:8" x14ac:dyDescent="0.3">
      <c r="A37" s="198" t="s">
        <v>340</v>
      </c>
      <c r="B37" s="110">
        <v>20</v>
      </c>
      <c r="C37" s="199">
        <f>-'Nota 20'!B11</f>
        <v>-346910809</v>
      </c>
      <c r="D37" s="108"/>
      <c r="E37" s="199">
        <v>-846739433</v>
      </c>
    </row>
    <row r="38" spans="1:8" x14ac:dyDescent="0.3">
      <c r="A38" s="198"/>
      <c r="B38" s="108"/>
      <c r="C38" s="544"/>
      <c r="D38" s="108"/>
      <c r="E38" s="108"/>
    </row>
    <row r="39" spans="1:8" ht="15" thickBot="1" x14ac:dyDescent="0.35">
      <c r="A39" s="200" t="s">
        <v>341</v>
      </c>
      <c r="B39" s="108"/>
      <c r="C39" s="547">
        <f>+C12+C23+C28+C35+C37</f>
        <v>3122197277</v>
      </c>
      <c r="D39" s="108"/>
      <c r="E39" s="206">
        <f>+E12+E23+E28+E35+E37</f>
        <v>5718723977</v>
      </c>
    </row>
    <row r="40" spans="1:8" ht="15" thickTop="1" x14ac:dyDescent="0.3">
      <c r="A40" s="200"/>
      <c r="B40" s="108"/>
      <c r="C40" s="544"/>
      <c r="D40" s="108"/>
      <c r="E40" s="108"/>
    </row>
    <row r="41" spans="1:8" ht="15" thickBot="1" x14ac:dyDescent="0.35">
      <c r="A41" s="105" t="s">
        <v>342</v>
      </c>
      <c r="B41" s="110">
        <v>21</v>
      </c>
      <c r="C41" s="548">
        <f>+C39/192173.48</f>
        <v>16246.764522347203</v>
      </c>
      <c r="D41" s="105"/>
      <c r="E41" s="207">
        <f>+E39/192173.48</f>
        <v>29758.133000453548</v>
      </c>
    </row>
    <row r="42" spans="1:8" ht="15" thickTop="1" x14ac:dyDescent="0.3">
      <c r="A42" s="105"/>
      <c r="B42" s="105"/>
      <c r="C42" s="549"/>
      <c r="D42" s="105"/>
      <c r="E42" s="105"/>
    </row>
    <row r="43" spans="1:8" x14ac:dyDescent="0.3">
      <c r="E43" s="208"/>
    </row>
    <row r="44" spans="1:8" x14ac:dyDescent="0.3">
      <c r="C44" s="208">
        <f>+C39-BG!D46</f>
        <v>-0.40000009536743164</v>
      </c>
    </row>
  </sheetData>
  <mergeCells count="3">
    <mergeCell ref="A1:E1"/>
    <mergeCell ref="A2:E2"/>
    <mergeCell ref="A4:E4"/>
  </mergeCells>
  <hyperlinks>
    <hyperlink ref="B10" location="'Nota 14'!A1" display="'Nota 14'!A1" xr:uid="{62BB4ABD-447D-C448-8731-9DA38BF30994}"/>
    <hyperlink ref="B11" location="'Nota 15'!A1" display="'Nota 15'!A1" xr:uid="{117199D7-A193-A344-BC4D-419BED61F33D}"/>
    <hyperlink ref="B15" location="'Nota 16'!A1" display="'Nota 16'!A1" xr:uid="{C2C38BD0-7319-7348-959C-14018B4FDCEF}"/>
    <hyperlink ref="F1" location="Indice!D31" display="Indice" xr:uid="{2BEE7229-D06E-1440-A291-2224CBA4FA78}"/>
    <hyperlink ref="B16" location="'Nota 17'!E2" display="'Nota 17'!E2" xr:uid="{A6F888C6-700B-D04C-B56C-9B48A6712173}"/>
    <hyperlink ref="B27" location="'Nota 18'!A1" display="'Nota 18'!A1" xr:uid="{5963DEEE-29D3-724D-91AC-C2DD36FC2EEB}"/>
    <hyperlink ref="B37" location="'Nota 20'!A1" display="'Nota 20'!A1" xr:uid="{15091D1F-CB67-B04F-8FDE-856F9D64A020}"/>
    <hyperlink ref="B34" location="'Nota 19'!A1" display="'Nota 19'!A1" xr:uid="{D22C2CAA-6C0B-844F-9BAA-8550BCF81D51}"/>
    <hyperlink ref="B32" location="'Nota 19'!A1" display="'Nota 19'!A1" xr:uid="{5A08611B-85E2-9547-9A94-3645D2511E02}"/>
    <hyperlink ref="B41" location="'Nota 21'!A1" display="'Nota 21'!A1" xr:uid="{15EE3ABD-2E01-0D43-8EA1-6DF99ABE5158}"/>
    <hyperlink ref="B18:B22" location="'Nota 17'!E2" display="'Nota 17'!E2" xr:uid="{7438C6DD-5BF2-4C23-B45F-D7B8350CAB5E}"/>
    <hyperlink ref="B26" location="'Nota 18'!A1" display="'Nota 18'!A1" xr:uid="{373C85E4-AB3F-42B8-B090-5BEF225CFB85}"/>
    <hyperlink ref="B31:B34" location="'Nota 19'!A1" display="'Nota 19'!A1" xr:uid="{33C874D8-B9AA-4144-AA36-131D83B95ED6}"/>
    <hyperlink ref="B17" location="'Nota 17'!E2" display="'Nota 17'!E2" xr:uid="{087A9195-C48B-4C67-8EA8-CB98563E9F01}"/>
  </hyperlink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5166FF-46F7-43DA-922B-0996AC80D624}">
  <dimension ref="A1:AI73"/>
  <sheetViews>
    <sheetView workbookViewId="0">
      <pane xSplit="2" ySplit="3" topLeftCell="Y37" activePane="bottomRight" state="frozen"/>
      <selection pane="topRight" activeCell="C1" sqref="C1"/>
      <selection pane="bottomLeft" activeCell="A4" sqref="A4"/>
      <selection pane="bottomRight" activeCell="AE54" sqref="AE54"/>
    </sheetView>
  </sheetViews>
  <sheetFormatPr baseColWidth="10" defaultColWidth="11.09765625" defaultRowHeight="13.8" x14ac:dyDescent="0.3"/>
  <cols>
    <col min="1" max="1" width="3.09765625" style="432" customWidth="1"/>
    <col min="2" max="2" width="45" style="432" customWidth="1"/>
    <col min="3" max="3" width="16.69921875" style="432" bestFit="1" customWidth="1"/>
    <col min="4" max="4" width="15.59765625" style="432" customWidth="1"/>
    <col min="5" max="5" width="13.19921875" style="432" customWidth="1"/>
    <col min="6" max="6" width="16.69921875" style="432" bestFit="1" customWidth="1"/>
    <col min="7" max="7" width="12.59765625" style="432" bestFit="1" customWidth="1"/>
    <col min="8" max="8" width="13.5" style="432" bestFit="1" customWidth="1"/>
    <col min="9" max="9" width="9.8984375" style="432" bestFit="1" customWidth="1"/>
    <col min="10" max="10" width="10" style="432" bestFit="1" customWidth="1"/>
    <col min="11" max="11" width="1.69921875" style="432" customWidth="1"/>
    <col min="12" max="12" width="14" style="432" bestFit="1" customWidth="1"/>
    <col min="13" max="13" width="14" style="435" bestFit="1" customWidth="1"/>
    <col min="14" max="14" width="14.3984375" style="432" bestFit="1" customWidth="1"/>
    <col min="15" max="15" width="3.09765625" style="432" customWidth="1"/>
    <col min="16" max="16" width="14" style="432" bestFit="1" customWidth="1"/>
    <col min="17" max="17" width="14.3984375" style="432" bestFit="1" customWidth="1"/>
    <col min="18" max="18" width="13.3984375" style="432" bestFit="1" customWidth="1"/>
    <col min="19" max="19" width="14.5" style="432" bestFit="1" customWidth="1"/>
    <col min="20" max="20" width="15.09765625" style="432" bestFit="1" customWidth="1"/>
    <col min="21" max="21" width="13.5" style="432" bestFit="1" customWidth="1"/>
    <col min="22" max="22" width="13.3984375" style="432" bestFit="1" customWidth="1"/>
    <col min="23" max="23" width="12.59765625" style="432" bestFit="1" customWidth="1"/>
    <col min="24" max="24" width="12.19921875" style="432" bestFit="1" customWidth="1"/>
    <col min="25" max="25" width="13.09765625" style="432" bestFit="1" customWidth="1"/>
    <col min="26" max="26" width="15.8984375" style="432" customWidth="1"/>
    <col min="27" max="27" width="12.3984375" style="432" bestFit="1" customWidth="1"/>
    <col min="28" max="28" width="16.09765625" style="432" bestFit="1" customWidth="1"/>
    <col min="29" max="29" width="14.5" style="432" bestFit="1" customWidth="1"/>
    <col min="30" max="30" width="3.8984375" style="432" bestFit="1" customWidth="1"/>
    <col min="31" max="31" width="12.8984375" style="432" bestFit="1" customWidth="1"/>
    <col min="32" max="32" width="15.3984375" style="432" bestFit="1" customWidth="1"/>
    <col min="33" max="33" width="13.09765625" style="432" bestFit="1" customWidth="1"/>
    <col min="34" max="257" width="11.09765625" style="432"/>
    <col min="258" max="258" width="3.09765625" style="432" customWidth="1"/>
    <col min="259" max="259" width="35.69921875" style="432" customWidth="1"/>
    <col min="260" max="260" width="16.19921875" style="432" customWidth="1"/>
    <col min="261" max="261" width="18.69921875" style="432" customWidth="1"/>
    <col min="262" max="262" width="16.19921875" style="432" bestFit="1" customWidth="1"/>
    <col min="263" max="264" width="15.3984375" style="432" bestFit="1" customWidth="1"/>
    <col min="265" max="266" width="13.09765625" style="432" customWidth="1"/>
    <col min="267" max="268" width="12.8984375" style="432" customWidth="1"/>
    <col min="269" max="269" width="14.3984375" style="432" bestFit="1" customWidth="1"/>
    <col min="270" max="270" width="5.5" style="432" customWidth="1"/>
    <col min="271" max="271" width="14" style="432" customWidth="1"/>
    <col min="272" max="272" width="16.19921875" style="432" customWidth="1"/>
    <col min="273" max="273" width="16" style="432" customWidth="1"/>
    <col min="274" max="274" width="3.09765625" style="432" customWidth="1"/>
    <col min="275" max="275" width="13.3984375" style="432" bestFit="1" customWidth="1"/>
    <col min="276" max="276" width="13.5" style="432" bestFit="1" customWidth="1"/>
    <col min="277" max="277" width="16.8984375" style="432" bestFit="1" customWidth="1"/>
    <col min="278" max="278" width="13.59765625" style="432" bestFit="1" customWidth="1"/>
    <col min="279" max="279" width="14" style="432" customWidth="1"/>
    <col min="280" max="280" width="15.09765625" style="432" customWidth="1"/>
    <col min="281" max="281" width="12.5" style="432" customWidth="1"/>
    <col min="282" max="282" width="15.8984375" style="432" customWidth="1"/>
    <col min="283" max="283" width="14" style="432" customWidth="1"/>
    <col min="284" max="285" width="14" style="432" bestFit="1" customWidth="1"/>
    <col min="286" max="286" width="15.5" style="432" customWidth="1"/>
    <col min="287" max="287" width="14" style="432" bestFit="1" customWidth="1"/>
    <col min="288" max="288" width="15.3984375" style="432" bestFit="1" customWidth="1"/>
    <col min="289" max="289" width="13.09765625" style="432" bestFit="1" customWidth="1"/>
    <col min="290" max="513" width="11.09765625" style="432"/>
    <col min="514" max="514" width="3.09765625" style="432" customWidth="1"/>
    <col min="515" max="515" width="35.69921875" style="432" customWidth="1"/>
    <col min="516" max="516" width="16.19921875" style="432" customWidth="1"/>
    <col min="517" max="517" width="18.69921875" style="432" customWidth="1"/>
    <col min="518" max="518" width="16.19921875" style="432" bestFit="1" customWidth="1"/>
    <col min="519" max="520" width="15.3984375" style="432" bestFit="1" customWidth="1"/>
    <col min="521" max="522" width="13.09765625" style="432" customWidth="1"/>
    <col min="523" max="524" width="12.8984375" style="432" customWidth="1"/>
    <col min="525" max="525" width="14.3984375" style="432" bestFit="1" customWidth="1"/>
    <col min="526" max="526" width="5.5" style="432" customWidth="1"/>
    <col min="527" max="527" width="14" style="432" customWidth="1"/>
    <col min="528" max="528" width="16.19921875" style="432" customWidth="1"/>
    <col min="529" max="529" width="16" style="432" customWidth="1"/>
    <col min="530" max="530" width="3.09765625" style="432" customWidth="1"/>
    <col min="531" max="531" width="13.3984375" style="432" bestFit="1" customWidth="1"/>
    <col min="532" max="532" width="13.5" style="432" bestFit="1" customWidth="1"/>
    <col min="533" max="533" width="16.8984375" style="432" bestFit="1" customWidth="1"/>
    <col min="534" max="534" width="13.59765625" style="432" bestFit="1" customWidth="1"/>
    <col min="535" max="535" width="14" style="432" customWidth="1"/>
    <col min="536" max="536" width="15.09765625" style="432" customWidth="1"/>
    <col min="537" max="537" width="12.5" style="432" customWidth="1"/>
    <col min="538" max="538" width="15.8984375" style="432" customWidth="1"/>
    <col min="539" max="539" width="14" style="432" customWidth="1"/>
    <col min="540" max="541" width="14" style="432" bestFit="1" customWidth="1"/>
    <col min="542" max="542" width="15.5" style="432" customWidth="1"/>
    <col min="543" max="543" width="14" style="432" bestFit="1" customWidth="1"/>
    <col min="544" max="544" width="15.3984375" style="432" bestFit="1" customWidth="1"/>
    <col min="545" max="545" width="13.09765625" style="432" bestFit="1" customWidth="1"/>
    <col min="546" max="769" width="11.09765625" style="432"/>
    <col min="770" max="770" width="3.09765625" style="432" customWidth="1"/>
    <col min="771" max="771" width="35.69921875" style="432" customWidth="1"/>
    <col min="772" max="772" width="16.19921875" style="432" customWidth="1"/>
    <col min="773" max="773" width="18.69921875" style="432" customWidth="1"/>
    <col min="774" max="774" width="16.19921875" style="432" bestFit="1" customWidth="1"/>
    <col min="775" max="776" width="15.3984375" style="432" bestFit="1" customWidth="1"/>
    <col min="777" max="778" width="13.09765625" style="432" customWidth="1"/>
    <col min="779" max="780" width="12.8984375" style="432" customWidth="1"/>
    <col min="781" max="781" width="14.3984375" style="432" bestFit="1" customWidth="1"/>
    <col min="782" max="782" width="5.5" style="432" customWidth="1"/>
    <col min="783" max="783" width="14" style="432" customWidth="1"/>
    <col min="784" max="784" width="16.19921875" style="432" customWidth="1"/>
    <col min="785" max="785" width="16" style="432" customWidth="1"/>
    <col min="786" max="786" width="3.09765625" style="432" customWidth="1"/>
    <col min="787" max="787" width="13.3984375" style="432" bestFit="1" customWidth="1"/>
    <col min="788" max="788" width="13.5" style="432" bestFit="1" customWidth="1"/>
    <col min="789" max="789" width="16.8984375" style="432" bestFit="1" customWidth="1"/>
    <col min="790" max="790" width="13.59765625" style="432" bestFit="1" customWidth="1"/>
    <col min="791" max="791" width="14" style="432" customWidth="1"/>
    <col min="792" max="792" width="15.09765625" style="432" customWidth="1"/>
    <col min="793" max="793" width="12.5" style="432" customWidth="1"/>
    <col min="794" max="794" width="15.8984375" style="432" customWidth="1"/>
    <col min="795" max="795" width="14" style="432" customWidth="1"/>
    <col min="796" max="797" width="14" style="432" bestFit="1" customWidth="1"/>
    <col min="798" max="798" width="15.5" style="432" customWidth="1"/>
    <col min="799" max="799" width="14" style="432" bestFit="1" customWidth="1"/>
    <col min="800" max="800" width="15.3984375" style="432" bestFit="1" customWidth="1"/>
    <col min="801" max="801" width="13.09765625" style="432" bestFit="1" customWidth="1"/>
    <col min="802" max="1025" width="11.09765625" style="432"/>
    <col min="1026" max="1026" width="3.09765625" style="432" customWidth="1"/>
    <col min="1027" max="1027" width="35.69921875" style="432" customWidth="1"/>
    <col min="1028" max="1028" width="16.19921875" style="432" customWidth="1"/>
    <col min="1029" max="1029" width="18.69921875" style="432" customWidth="1"/>
    <col min="1030" max="1030" width="16.19921875" style="432" bestFit="1" customWidth="1"/>
    <col min="1031" max="1032" width="15.3984375" style="432" bestFit="1" customWidth="1"/>
    <col min="1033" max="1034" width="13.09765625" style="432" customWidth="1"/>
    <col min="1035" max="1036" width="12.8984375" style="432" customWidth="1"/>
    <col min="1037" max="1037" width="14.3984375" style="432" bestFit="1" customWidth="1"/>
    <col min="1038" max="1038" width="5.5" style="432" customWidth="1"/>
    <col min="1039" max="1039" width="14" style="432" customWidth="1"/>
    <col min="1040" max="1040" width="16.19921875" style="432" customWidth="1"/>
    <col min="1041" max="1041" width="16" style="432" customWidth="1"/>
    <col min="1042" max="1042" width="3.09765625" style="432" customWidth="1"/>
    <col min="1043" max="1043" width="13.3984375" style="432" bestFit="1" customWidth="1"/>
    <col min="1044" max="1044" width="13.5" style="432" bestFit="1" customWidth="1"/>
    <col min="1045" max="1045" width="16.8984375" style="432" bestFit="1" customWidth="1"/>
    <col min="1046" max="1046" width="13.59765625" style="432" bestFit="1" customWidth="1"/>
    <col min="1047" max="1047" width="14" style="432" customWidth="1"/>
    <col min="1048" max="1048" width="15.09765625" style="432" customWidth="1"/>
    <col min="1049" max="1049" width="12.5" style="432" customWidth="1"/>
    <col min="1050" max="1050" width="15.8984375" style="432" customWidth="1"/>
    <col min="1051" max="1051" width="14" style="432" customWidth="1"/>
    <col min="1052" max="1053" width="14" style="432" bestFit="1" customWidth="1"/>
    <col min="1054" max="1054" width="15.5" style="432" customWidth="1"/>
    <col min="1055" max="1055" width="14" style="432" bestFit="1" customWidth="1"/>
    <col min="1056" max="1056" width="15.3984375" style="432" bestFit="1" customWidth="1"/>
    <col min="1057" max="1057" width="13.09765625" style="432" bestFit="1" customWidth="1"/>
    <col min="1058" max="1281" width="11.09765625" style="432"/>
    <col min="1282" max="1282" width="3.09765625" style="432" customWidth="1"/>
    <col min="1283" max="1283" width="35.69921875" style="432" customWidth="1"/>
    <col min="1284" max="1284" width="16.19921875" style="432" customWidth="1"/>
    <col min="1285" max="1285" width="18.69921875" style="432" customWidth="1"/>
    <col min="1286" max="1286" width="16.19921875" style="432" bestFit="1" customWidth="1"/>
    <col min="1287" max="1288" width="15.3984375" style="432" bestFit="1" customWidth="1"/>
    <col min="1289" max="1290" width="13.09765625" style="432" customWidth="1"/>
    <col min="1291" max="1292" width="12.8984375" style="432" customWidth="1"/>
    <col min="1293" max="1293" width="14.3984375" style="432" bestFit="1" customWidth="1"/>
    <col min="1294" max="1294" width="5.5" style="432" customWidth="1"/>
    <col min="1295" max="1295" width="14" style="432" customWidth="1"/>
    <col min="1296" max="1296" width="16.19921875" style="432" customWidth="1"/>
    <col min="1297" max="1297" width="16" style="432" customWidth="1"/>
    <col min="1298" max="1298" width="3.09765625" style="432" customWidth="1"/>
    <col min="1299" max="1299" width="13.3984375" style="432" bestFit="1" customWidth="1"/>
    <col min="1300" max="1300" width="13.5" style="432" bestFit="1" customWidth="1"/>
    <col min="1301" max="1301" width="16.8984375" style="432" bestFit="1" customWidth="1"/>
    <col min="1302" max="1302" width="13.59765625" style="432" bestFit="1" customWidth="1"/>
    <col min="1303" max="1303" width="14" style="432" customWidth="1"/>
    <col min="1304" max="1304" width="15.09765625" style="432" customWidth="1"/>
    <col min="1305" max="1305" width="12.5" style="432" customWidth="1"/>
    <col min="1306" max="1306" width="15.8984375" style="432" customWidth="1"/>
    <col min="1307" max="1307" width="14" style="432" customWidth="1"/>
    <col min="1308" max="1309" width="14" style="432" bestFit="1" customWidth="1"/>
    <col min="1310" max="1310" width="15.5" style="432" customWidth="1"/>
    <col min="1311" max="1311" width="14" style="432" bestFit="1" customWidth="1"/>
    <col min="1312" max="1312" width="15.3984375" style="432" bestFit="1" customWidth="1"/>
    <col min="1313" max="1313" width="13.09765625" style="432" bestFit="1" customWidth="1"/>
    <col min="1314" max="1537" width="11.09765625" style="432"/>
    <col min="1538" max="1538" width="3.09765625" style="432" customWidth="1"/>
    <col min="1539" max="1539" width="35.69921875" style="432" customWidth="1"/>
    <col min="1540" max="1540" width="16.19921875" style="432" customWidth="1"/>
    <col min="1541" max="1541" width="18.69921875" style="432" customWidth="1"/>
    <col min="1542" max="1542" width="16.19921875" style="432" bestFit="1" customWidth="1"/>
    <col min="1543" max="1544" width="15.3984375" style="432" bestFit="1" customWidth="1"/>
    <col min="1545" max="1546" width="13.09765625" style="432" customWidth="1"/>
    <col min="1547" max="1548" width="12.8984375" style="432" customWidth="1"/>
    <col min="1549" max="1549" width="14.3984375" style="432" bestFit="1" customWidth="1"/>
    <col min="1550" max="1550" width="5.5" style="432" customWidth="1"/>
    <col min="1551" max="1551" width="14" style="432" customWidth="1"/>
    <col min="1552" max="1552" width="16.19921875" style="432" customWidth="1"/>
    <col min="1553" max="1553" width="16" style="432" customWidth="1"/>
    <col min="1554" max="1554" width="3.09765625" style="432" customWidth="1"/>
    <col min="1555" max="1555" width="13.3984375" style="432" bestFit="1" customWidth="1"/>
    <col min="1556" max="1556" width="13.5" style="432" bestFit="1" customWidth="1"/>
    <col min="1557" max="1557" width="16.8984375" style="432" bestFit="1" customWidth="1"/>
    <col min="1558" max="1558" width="13.59765625" style="432" bestFit="1" customWidth="1"/>
    <col min="1559" max="1559" width="14" style="432" customWidth="1"/>
    <col min="1560" max="1560" width="15.09765625" style="432" customWidth="1"/>
    <col min="1561" max="1561" width="12.5" style="432" customWidth="1"/>
    <col min="1562" max="1562" width="15.8984375" style="432" customWidth="1"/>
    <col min="1563" max="1563" width="14" style="432" customWidth="1"/>
    <col min="1564" max="1565" width="14" style="432" bestFit="1" customWidth="1"/>
    <col min="1566" max="1566" width="15.5" style="432" customWidth="1"/>
    <col min="1567" max="1567" width="14" style="432" bestFit="1" customWidth="1"/>
    <col min="1568" max="1568" width="15.3984375" style="432" bestFit="1" customWidth="1"/>
    <col min="1569" max="1569" width="13.09765625" style="432" bestFit="1" customWidth="1"/>
    <col min="1570" max="1793" width="11.09765625" style="432"/>
    <col min="1794" max="1794" width="3.09765625" style="432" customWidth="1"/>
    <col min="1795" max="1795" width="35.69921875" style="432" customWidth="1"/>
    <col min="1796" max="1796" width="16.19921875" style="432" customWidth="1"/>
    <col min="1797" max="1797" width="18.69921875" style="432" customWidth="1"/>
    <col min="1798" max="1798" width="16.19921875" style="432" bestFit="1" customWidth="1"/>
    <col min="1799" max="1800" width="15.3984375" style="432" bestFit="1" customWidth="1"/>
    <col min="1801" max="1802" width="13.09765625" style="432" customWidth="1"/>
    <col min="1803" max="1804" width="12.8984375" style="432" customWidth="1"/>
    <col min="1805" max="1805" width="14.3984375" style="432" bestFit="1" customWidth="1"/>
    <col min="1806" max="1806" width="5.5" style="432" customWidth="1"/>
    <col min="1807" max="1807" width="14" style="432" customWidth="1"/>
    <col min="1808" max="1808" width="16.19921875" style="432" customWidth="1"/>
    <col min="1809" max="1809" width="16" style="432" customWidth="1"/>
    <col min="1810" max="1810" width="3.09765625" style="432" customWidth="1"/>
    <col min="1811" max="1811" width="13.3984375" style="432" bestFit="1" customWidth="1"/>
    <col min="1812" max="1812" width="13.5" style="432" bestFit="1" customWidth="1"/>
    <col min="1813" max="1813" width="16.8984375" style="432" bestFit="1" customWidth="1"/>
    <col min="1814" max="1814" width="13.59765625" style="432" bestFit="1" customWidth="1"/>
    <col min="1815" max="1815" width="14" style="432" customWidth="1"/>
    <col min="1816" max="1816" width="15.09765625" style="432" customWidth="1"/>
    <col min="1817" max="1817" width="12.5" style="432" customWidth="1"/>
    <col min="1818" max="1818" width="15.8984375" style="432" customWidth="1"/>
    <col min="1819" max="1819" width="14" style="432" customWidth="1"/>
    <col min="1820" max="1821" width="14" style="432" bestFit="1" customWidth="1"/>
    <col min="1822" max="1822" width="15.5" style="432" customWidth="1"/>
    <col min="1823" max="1823" width="14" style="432" bestFit="1" customWidth="1"/>
    <col min="1824" max="1824" width="15.3984375" style="432" bestFit="1" customWidth="1"/>
    <col min="1825" max="1825" width="13.09765625" style="432" bestFit="1" customWidth="1"/>
    <col min="1826" max="2049" width="11.09765625" style="432"/>
    <col min="2050" max="2050" width="3.09765625" style="432" customWidth="1"/>
    <col min="2051" max="2051" width="35.69921875" style="432" customWidth="1"/>
    <col min="2052" max="2052" width="16.19921875" style="432" customWidth="1"/>
    <col min="2053" max="2053" width="18.69921875" style="432" customWidth="1"/>
    <col min="2054" max="2054" width="16.19921875" style="432" bestFit="1" customWidth="1"/>
    <col min="2055" max="2056" width="15.3984375" style="432" bestFit="1" customWidth="1"/>
    <col min="2057" max="2058" width="13.09765625" style="432" customWidth="1"/>
    <col min="2059" max="2060" width="12.8984375" style="432" customWidth="1"/>
    <col min="2061" max="2061" width="14.3984375" style="432" bestFit="1" customWidth="1"/>
    <col min="2062" max="2062" width="5.5" style="432" customWidth="1"/>
    <col min="2063" max="2063" width="14" style="432" customWidth="1"/>
    <col min="2064" max="2064" width="16.19921875" style="432" customWidth="1"/>
    <col min="2065" max="2065" width="16" style="432" customWidth="1"/>
    <col min="2066" max="2066" width="3.09765625" style="432" customWidth="1"/>
    <col min="2067" max="2067" width="13.3984375" style="432" bestFit="1" customWidth="1"/>
    <col min="2068" max="2068" width="13.5" style="432" bestFit="1" customWidth="1"/>
    <col min="2069" max="2069" width="16.8984375" style="432" bestFit="1" customWidth="1"/>
    <col min="2070" max="2070" width="13.59765625" style="432" bestFit="1" customWidth="1"/>
    <col min="2071" max="2071" width="14" style="432" customWidth="1"/>
    <col min="2072" max="2072" width="15.09765625" style="432" customWidth="1"/>
    <col min="2073" max="2073" width="12.5" style="432" customWidth="1"/>
    <col min="2074" max="2074" width="15.8984375" style="432" customWidth="1"/>
    <col min="2075" max="2075" width="14" style="432" customWidth="1"/>
    <col min="2076" max="2077" width="14" style="432" bestFit="1" customWidth="1"/>
    <col min="2078" max="2078" width="15.5" style="432" customWidth="1"/>
    <col min="2079" max="2079" width="14" style="432" bestFit="1" customWidth="1"/>
    <col min="2080" max="2080" width="15.3984375" style="432" bestFit="1" customWidth="1"/>
    <col min="2081" max="2081" width="13.09765625" style="432" bestFit="1" customWidth="1"/>
    <col min="2082" max="2305" width="11.09765625" style="432"/>
    <col min="2306" max="2306" width="3.09765625" style="432" customWidth="1"/>
    <col min="2307" max="2307" width="35.69921875" style="432" customWidth="1"/>
    <col min="2308" max="2308" width="16.19921875" style="432" customWidth="1"/>
    <col min="2309" max="2309" width="18.69921875" style="432" customWidth="1"/>
    <col min="2310" max="2310" width="16.19921875" style="432" bestFit="1" customWidth="1"/>
    <col min="2311" max="2312" width="15.3984375" style="432" bestFit="1" customWidth="1"/>
    <col min="2313" max="2314" width="13.09765625" style="432" customWidth="1"/>
    <col min="2315" max="2316" width="12.8984375" style="432" customWidth="1"/>
    <col min="2317" max="2317" width="14.3984375" style="432" bestFit="1" customWidth="1"/>
    <col min="2318" max="2318" width="5.5" style="432" customWidth="1"/>
    <col min="2319" max="2319" width="14" style="432" customWidth="1"/>
    <col min="2320" max="2320" width="16.19921875" style="432" customWidth="1"/>
    <col min="2321" max="2321" width="16" style="432" customWidth="1"/>
    <col min="2322" max="2322" width="3.09765625" style="432" customWidth="1"/>
    <col min="2323" max="2323" width="13.3984375" style="432" bestFit="1" customWidth="1"/>
    <col min="2324" max="2324" width="13.5" style="432" bestFit="1" customWidth="1"/>
    <col min="2325" max="2325" width="16.8984375" style="432" bestFit="1" customWidth="1"/>
    <col min="2326" max="2326" width="13.59765625" style="432" bestFit="1" customWidth="1"/>
    <col min="2327" max="2327" width="14" style="432" customWidth="1"/>
    <col min="2328" max="2328" width="15.09765625" style="432" customWidth="1"/>
    <col min="2329" max="2329" width="12.5" style="432" customWidth="1"/>
    <col min="2330" max="2330" width="15.8984375" style="432" customWidth="1"/>
    <col min="2331" max="2331" width="14" style="432" customWidth="1"/>
    <col min="2332" max="2333" width="14" style="432" bestFit="1" customWidth="1"/>
    <col min="2334" max="2334" width="15.5" style="432" customWidth="1"/>
    <col min="2335" max="2335" width="14" style="432" bestFit="1" customWidth="1"/>
    <col min="2336" max="2336" width="15.3984375" style="432" bestFit="1" customWidth="1"/>
    <col min="2337" max="2337" width="13.09765625" style="432" bestFit="1" customWidth="1"/>
    <col min="2338" max="2561" width="11.09765625" style="432"/>
    <col min="2562" max="2562" width="3.09765625" style="432" customWidth="1"/>
    <col min="2563" max="2563" width="35.69921875" style="432" customWidth="1"/>
    <col min="2564" max="2564" width="16.19921875" style="432" customWidth="1"/>
    <col min="2565" max="2565" width="18.69921875" style="432" customWidth="1"/>
    <col min="2566" max="2566" width="16.19921875" style="432" bestFit="1" customWidth="1"/>
    <col min="2567" max="2568" width="15.3984375" style="432" bestFit="1" customWidth="1"/>
    <col min="2569" max="2570" width="13.09765625" style="432" customWidth="1"/>
    <col min="2571" max="2572" width="12.8984375" style="432" customWidth="1"/>
    <col min="2573" max="2573" width="14.3984375" style="432" bestFit="1" customWidth="1"/>
    <col min="2574" max="2574" width="5.5" style="432" customWidth="1"/>
    <col min="2575" max="2575" width="14" style="432" customWidth="1"/>
    <col min="2576" max="2576" width="16.19921875" style="432" customWidth="1"/>
    <col min="2577" max="2577" width="16" style="432" customWidth="1"/>
    <col min="2578" max="2578" width="3.09765625" style="432" customWidth="1"/>
    <col min="2579" max="2579" width="13.3984375" style="432" bestFit="1" customWidth="1"/>
    <col min="2580" max="2580" width="13.5" style="432" bestFit="1" customWidth="1"/>
    <col min="2581" max="2581" width="16.8984375" style="432" bestFit="1" customWidth="1"/>
    <col min="2582" max="2582" width="13.59765625" style="432" bestFit="1" customWidth="1"/>
    <col min="2583" max="2583" width="14" style="432" customWidth="1"/>
    <col min="2584" max="2584" width="15.09765625" style="432" customWidth="1"/>
    <col min="2585" max="2585" width="12.5" style="432" customWidth="1"/>
    <col min="2586" max="2586" width="15.8984375" style="432" customWidth="1"/>
    <col min="2587" max="2587" width="14" style="432" customWidth="1"/>
    <col min="2588" max="2589" width="14" style="432" bestFit="1" customWidth="1"/>
    <col min="2590" max="2590" width="15.5" style="432" customWidth="1"/>
    <col min="2591" max="2591" width="14" style="432" bestFit="1" customWidth="1"/>
    <col min="2592" max="2592" width="15.3984375" style="432" bestFit="1" customWidth="1"/>
    <col min="2593" max="2593" width="13.09765625" style="432" bestFit="1" customWidth="1"/>
    <col min="2594" max="2817" width="11.09765625" style="432"/>
    <col min="2818" max="2818" width="3.09765625" style="432" customWidth="1"/>
    <col min="2819" max="2819" width="35.69921875" style="432" customWidth="1"/>
    <col min="2820" max="2820" width="16.19921875" style="432" customWidth="1"/>
    <col min="2821" max="2821" width="18.69921875" style="432" customWidth="1"/>
    <col min="2822" max="2822" width="16.19921875" style="432" bestFit="1" customWidth="1"/>
    <col min="2823" max="2824" width="15.3984375" style="432" bestFit="1" customWidth="1"/>
    <col min="2825" max="2826" width="13.09765625" style="432" customWidth="1"/>
    <col min="2827" max="2828" width="12.8984375" style="432" customWidth="1"/>
    <col min="2829" max="2829" width="14.3984375" style="432" bestFit="1" customWidth="1"/>
    <col min="2830" max="2830" width="5.5" style="432" customWidth="1"/>
    <col min="2831" max="2831" width="14" style="432" customWidth="1"/>
    <col min="2832" max="2832" width="16.19921875" style="432" customWidth="1"/>
    <col min="2833" max="2833" width="16" style="432" customWidth="1"/>
    <col min="2834" max="2834" width="3.09765625" style="432" customWidth="1"/>
    <col min="2835" max="2835" width="13.3984375" style="432" bestFit="1" customWidth="1"/>
    <col min="2836" max="2836" width="13.5" style="432" bestFit="1" customWidth="1"/>
    <col min="2837" max="2837" width="16.8984375" style="432" bestFit="1" customWidth="1"/>
    <col min="2838" max="2838" width="13.59765625" style="432" bestFit="1" customWidth="1"/>
    <col min="2839" max="2839" width="14" style="432" customWidth="1"/>
    <col min="2840" max="2840" width="15.09765625" style="432" customWidth="1"/>
    <col min="2841" max="2841" width="12.5" style="432" customWidth="1"/>
    <col min="2842" max="2842" width="15.8984375" style="432" customWidth="1"/>
    <col min="2843" max="2843" width="14" style="432" customWidth="1"/>
    <col min="2844" max="2845" width="14" style="432" bestFit="1" customWidth="1"/>
    <col min="2846" max="2846" width="15.5" style="432" customWidth="1"/>
    <col min="2847" max="2847" width="14" style="432" bestFit="1" customWidth="1"/>
    <col min="2848" max="2848" width="15.3984375" style="432" bestFit="1" customWidth="1"/>
    <col min="2849" max="2849" width="13.09765625" style="432" bestFit="1" customWidth="1"/>
    <col min="2850" max="3073" width="11.09765625" style="432"/>
    <col min="3074" max="3074" width="3.09765625" style="432" customWidth="1"/>
    <col min="3075" max="3075" width="35.69921875" style="432" customWidth="1"/>
    <col min="3076" max="3076" width="16.19921875" style="432" customWidth="1"/>
    <col min="3077" max="3077" width="18.69921875" style="432" customWidth="1"/>
    <col min="3078" max="3078" width="16.19921875" style="432" bestFit="1" customWidth="1"/>
    <col min="3079" max="3080" width="15.3984375" style="432" bestFit="1" customWidth="1"/>
    <col min="3081" max="3082" width="13.09765625" style="432" customWidth="1"/>
    <col min="3083" max="3084" width="12.8984375" style="432" customWidth="1"/>
    <col min="3085" max="3085" width="14.3984375" style="432" bestFit="1" customWidth="1"/>
    <col min="3086" max="3086" width="5.5" style="432" customWidth="1"/>
    <col min="3087" max="3087" width="14" style="432" customWidth="1"/>
    <col min="3088" max="3088" width="16.19921875" style="432" customWidth="1"/>
    <col min="3089" max="3089" width="16" style="432" customWidth="1"/>
    <col min="3090" max="3090" width="3.09765625" style="432" customWidth="1"/>
    <col min="3091" max="3091" width="13.3984375" style="432" bestFit="1" customWidth="1"/>
    <col min="3092" max="3092" width="13.5" style="432" bestFit="1" customWidth="1"/>
    <col min="3093" max="3093" width="16.8984375" style="432" bestFit="1" customWidth="1"/>
    <col min="3094" max="3094" width="13.59765625" style="432" bestFit="1" customWidth="1"/>
    <col min="3095" max="3095" width="14" style="432" customWidth="1"/>
    <col min="3096" max="3096" width="15.09765625" style="432" customWidth="1"/>
    <col min="3097" max="3097" width="12.5" style="432" customWidth="1"/>
    <col min="3098" max="3098" width="15.8984375" style="432" customWidth="1"/>
    <col min="3099" max="3099" width="14" style="432" customWidth="1"/>
    <col min="3100" max="3101" width="14" style="432" bestFit="1" customWidth="1"/>
    <col min="3102" max="3102" width="15.5" style="432" customWidth="1"/>
    <col min="3103" max="3103" width="14" style="432" bestFit="1" customWidth="1"/>
    <col min="3104" max="3104" width="15.3984375" style="432" bestFit="1" customWidth="1"/>
    <col min="3105" max="3105" width="13.09765625" style="432" bestFit="1" customWidth="1"/>
    <col min="3106" max="3329" width="11.09765625" style="432"/>
    <col min="3330" max="3330" width="3.09765625" style="432" customWidth="1"/>
    <col min="3331" max="3331" width="35.69921875" style="432" customWidth="1"/>
    <col min="3332" max="3332" width="16.19921875" style="432" customWidth="1"/>
    <col min="3333" max="3333" width="18.69921875" style="432" customWidth="1"/>
    <col min="3334" max="3334" width="16.19921875" style="432" bestFit="1" customWidth="1"/>
    <col min="3335" max="3336" width="15.3984375" style="432" bestFit="1" customWidth="1"/>
    <col min="3337" max="3338" width="13.09765625" style="432" customWidth="1"/>
    <col min="3339" max="3340" width="12.8984375" style="432" customWidth="1"/>
    <col min="3341" max="3341" width="14.3984375" style="432" bestFit="1" customWidth="1"/>
    <col min="3342" max="3342" width="5.5" style="432" customWidth="1"/>
    <col min="3343" max="3343" width="14" style="432" customWidth="1"/>
    <col min="3344" max="3344" width="16.19921875" style="432" customWidth="1"/>
    <col min="3345" max="3345" width="16" style="432" customWidth="1"/>
    <col min="3346" max="3346" width="3.09765625" style="432" customWidth="1"/>
    <col min="3347" max="3347" width="13.3984375" style="432" bestFit="1" customWidth="1"/>
    <col min="3348" max="3348" width="13.5" style="432" bestFit="1" customWidth="1"/>
    <col min="3349" max="3349" width="16.8984375" style="432" bestFit="1" customWidth="1"/>
    <col min="3350" max="3350" width="13.59765625" style="432" bestFit="1" customWidth="1"/>
    <col min="3351" max="3351" width="14" style="432" customWidth="1"/>
    <col min="3352" max="3352" width="15.09765625" style="432" customWidth="1"/>
    <col min="3353" max="3353" width="12.5" style="432" customWidth="1"/>
    <col min="3354" max="3354" width="15.8984375" style="432" customWidth="1"/>
    <col min="3355" max="3355" width="14" style="432" customWidth="1"/>
    <col min="3356" max="3357" width="14" style="432" bestFit="1" customWidth="1"/>
    <col min="3358" max="3358" width="15.5" style="432" customWidth="1"/>
    <col min="3359" max="3359" width="14" style="432" bestFit="1" customWidth="1"/>
    <col min="3360" max="3360" width="15.3984375" style="432" bestFit="1" customWidth="1"/>
    <col min="3361" max="3361" width="13.09765625" style="432" bestFit="1" customWidth="1"/>
    <col min="3362" max="3585" width="11.09765625" style="432"/>
    <col min="3586" max="3586" width="3.09765625" style="432" customWidth="1"/>
    <col min="3587" max="3587" width="35.69921875" style="432" customWidth="1"/>
    <col min="3588" max="3588" width="16.19921875" style="432" customWidth="1"/>
    <col min="3589" max="3589" width="18.69921875" style="432" customWidth="1"/>
    <col min="3590" max="3590" width="16.19921875" style="432" bestFit="1" customWidth="1"/>
    <col min="3591" max="3592" width="15.3984375" style="432" bestFit="1" customWidth="1"/>
    <col min="3593" max="3594" width="13.09765625" style="432" customWidth="1"/>
    <col min="3595" max="3596" width="12.8984375" style="432" customWidth="1"/>
    <col min="3597" max="3597" width="14.3984375" style="432" bestFit="1" customWidth="1"/>
    <col min="3598" max="3598" width="5.5" style="432" customWidth="1"/>
    <col min="3599" max="3599" width="14" style="432" customWidth="1"/>
    <col min="3600" max="3600" width="16.19921875" style="432" customWidth="1"/>
    <col min="3601" max="3601" width="16" style="432" customWidth="1"/>
    <col min="3602" max="3602" width="3.09765625" style="432" customWidth="1"/>
    <col min="3603" max="3603" width="13.3984375" style="432" bestFit="1" customWidth="1"/>
    <col min="3604" max="3604" width="13.5" style="432" bestFit="1" customWidth="1"/>
    <col min="3605" max="3605" width="16.8984375" style="432" bestFit="1" customWidth="1"/>
    <col min="3606" max="3606" width="13.59765625" style="432" bestFit="1" customWidth="1"/>
    <col min="3607" max="3607" width="14" style="432" customWidth="1"/>
    <col min="3608" max="3608" width="15.09765625" style="432" customWidth="1"/>
    <col min="3609" max="3609" width="12.5" style="432" customWidth="1"/>
    <col min="3610" max="3610" width="15.8984375" style="432" customWidth="1"/>
    <col min="3611" max="3611" width="14" style="432" customWidth="1"/>
    <col min="3612" max="3613" width="14" style="432" bestFit="1" customWidth="1"/>
    <col min="3614" max="3614" width="15.5" style="432" customWidth="1"/>
    <col min="3615" max="3615" width="14" style="432" bestFit="1" customWidth="1"/>
    <col min="3616" max="3616" width="15.3984375" style="432" bestFit="1" customWidth="1"/>
    <col min="3617" max="3617" width="13.09765625" style="432" bestFit="1" customWidth="1"/>
    <col min="3618" max="3841" width="11.09765625" style="432"/>
    <col min="3842" max="3842" width="3.09765625" style="432" customWidth="1"/>
    <col min="3843" max="3843" width="35.69921875" style="432" customWidth="1"/>
    <col min="3844" max="3844" width="16.19921875" style="432" customWidth="1"/>
    <col min="3845" max="3845" width="18.69921875" style="432" customWidth="1"/>
    <col min="3846" max="3846" width="16.19921875" style="432" bestFit="1" customWidth="1"/>
    <col min="3847" max="3848" width="15.3984375" style="432" bestFit="1" customWidth="1"/>
    <col min="3849" max="3850" width="13.09765625" style="432" customWidth="1"/>
    <col min="3851" max="3852" width="12.8984375" style="432" customWidth="1"/>
    <col min="3853" max="3853" width="14.3984375" style="432" bestFit="1" customWidth="1"/>
    <col min="3854" max="3854" width="5.5" style="432" customWidth="1"/>
    <col min="3855" max="3855" width="14" style="432" customWidth="1"/>
    <col min="3856" max="3856" width="16.19921875" style="432" customWidth="1"/>
    <col min="3857" max="3857" width="16" style="432" customWidth="1"/>
    <col min="3858" max="3858" width="3.09765625" style="432" customWidth="1"/>
    <col min="3859" max="3859" width="13.3984375" style="432" bestFit="1" customWidth="1"/>
    <col min="3860" max="3860" width="13.5" style="432" bestFit="1" customWidth="1"/>
    <col min="3861" max="3861" width="16.8984375" style="432" bestFit="1" customWidth="1"/>
    <col min="3862" max="3862" width="13.59765625" style="432" bestFit="1" customWidth="1"/>
    <col min="3863" max="3863" width="14" style="432" customWidth="1"/>
    <col min="3864" max="3864" width="15.09765625" style="432" customWidth="1"/>
    <col min="3865" max="3865" width="12.5" style="432" customWidth="1"/>
    <col min="3866" max="3866" width="15.8984375" style="432" customWidth="1"/>
    <col min="3867" max="3867" width="14" style="432" customWidth="1"/>
    <col min="3868" max="3869" width="14" style="432" bestFit="1" customWidth="1"/>
    <col min="3870" max="3870" width="15.5" style="432" customWidth="1"/>
    <col min="3871" max="3871" width="14" style="432" bestFit="1" customWidth="1"/>
    <col min="3872" max="3872" width="15.3984375" style="432" bestFit="1" customWidth="1"/>
    <col min="3873" max="3873" width="13.09765625" style="432" bestFit="1" customWidth="1"/>
    <col min="3874" max="4097" width="11.09765625" style="432"/>
    <col min="4098" max="4098" width="3.09765625" style="432" customWidth="1"/>
    <col min="4099" max="4099" width="35.69921875" style="432" customWidth="1"/>
    <col min="4100" max="4100" width="16.19921875" style="432" customWidth="1"/>
    <col min="4101" max="4101" width="18.69921875" style="432" customWidth="1"/>
    <col min="4102" max="4102" width="16.19921875" style="432" bestFit="1" customWidth="1"/>
    <col min="4103" max="4104" width="15.3984375" style="432" bestFit="1" customWidth="1"/>
    <col min="4105" max="4106" width="13.09765625" style="432" customWidth="1"/>
    <col min="4107" max="4108" width="12.8984375" style="432" customWidth="1"/>
    <col min="4109" max="4109" width="14.3984375" style="432" bestFit="1" customWidth="1"/>
    <col min="4110" max="4110" width="5.5" style="432" customWidth="1"/>
    <col min="4111" max="4111" width="14" style="432" customWidth="1"/>
    <col min="4112" max="4112" width="16.19921875" style="432" customWidth="1"/>
    <col min="4113" max="4113" width="16" style="432" customWidth="1"/>
    <col min="4114" max="4114" width="3.09765625" style="432" customWidth="1"/>
    <col min="4115" max="4115" width="13.3984375" style="432" bestFit="1" customWidth="1"/>
    <col min="4116" max="4116" width="13.5" style="432" bestFit="1" customWidth="1"/>
    <col min="4117" max="4117" width="16.8984375" style="432" bestFit="1" customWidth="1"/>
    <col min="4118" max="4118" width="13.59765625" style="432" bestFit="1" customWidth="1"/>
    <col min="4119" max="4119" width="14" style="432" customWidth="1"/>
    <col min="4120" max="4120" width="15.09765625" style="432" customWidth="1"/>
    <col min="4121" max="4121" width="12.5" style="432" customWidth="1"/>
    <col min="4122" max="4122" width="15.8984375" style="432" customWidth="1"/>
    <col min="4123" max="4123" width="14" style="432" customWidth="1"/>
    <col min="4124" max="4125" width="14" style="432" bestFit="1" customWidth="1"/>
    <col min="4126" max="4126" width="15.5" style="432" customWidth="1"/>
    <col min="4127" max="4127" width="14" style="432" bestFit="1" customWidth="1"/>
    <col min="4128" max="4128" width="15.3984375" style="432" bestFit="1" customWidth="1"/>
    <col min="4129" max="4129" width="13.09765625" style="432" bestFit="1" customWidth="1"/>
    <col min="4130" max="4353" width="11.09765625" style="432"/>
    <col min="4354" max="4354" width="3.09765625" style="432" customWidth="1"/>
    <col min="4355" max="4355" width="35.69921875" style="432" customWidth="1"/>
    <col min="4356" max="4356" width="16.19921875" style="432" customWidth="1"/>
    <col min="4357" max="4357" width="18.69921875" style="432" customWidth="1"/>
    <col min="4358" max="4358" width="16.19921875" style="432" bestFit="1" customWidth="1"/>
    <col min="4359" max="4360" width="15.3984375" style="432" bestFit="1" customWidth="1"/>
    <col min="4361" max="4362" width="13.09765625" style="432" customWidth="1"/>
    <col min="4363" max="4364" width="12.8984375" style="432" customWidth="1"/>
    <col min="4365" max="4365" width="14.3984375" style="432" bestFit="1" customWidth="1"/>
    <col min="4366" max="4366" width="5.5" style="432" customWidth="1"/>
    <col min="4367" max="4367" width="14" style="432" customWidth="1"/>
    <col min="4368" max="4368" width="16.19921875" style="432" customWidth="1"/>
    <col min="4369" max="4369" width="16" style="432" customWidth="1"/>
    <col min="4370" max="4370" width="3.09765625" style="432" customWidth="1"/>
    <col min="4371" max="4371" width="13.3984375" style="432" bestFit="1" customWidth="1"/>
    <col min="4372" max="4372" width="13.5" style="432" bestFit="1" customWidth="1"/>
    <col min="4373" max="4373" width="16.8984375" style="432" bestFit="1" customWidth="1"/>
    <col min="4374" max="4374" width="13.59765625" style="432" bestFit="1" customWidth="1"/>
    <col min="4375" max="4375" width="14" style="432" customWidth="1"/>
    <col min="4376" max="4376" width="15.09765625" style="432" customWidth="1"/>
    <col min="4377" max="4377" width="12.5" style="432" customWidth="1"/>
    <col min="4378" max="4378" width="15.8984375" style="432" customWidth="1"/>
    <col min="4379" max="4379" width="14" style="432" customWidth="1"/>
    <col min="4380" max="4381" width="14" style="432" bestFit="1" customWidth="1"/>
    <col min="4382" max="4382" width="15.5" style="432" customWidth="1"/>
    <col min="4383" max="4383" width="14" style="432" bestFit="1" customWidth="1"/>
    <col min="4384" max="4384" width="15.3984375" style="432" bestFit="1" customWidth="1"/>
    <col min="4385" max="4385" width="13.09765625" style="432" bestFit="1" customWidth="1"/>
    <col min="4386" max="4609" width="11.09765625" style="432"/>
    <col min="4610" max="4610" width="3.09765625" style="432" customWidth="1"/>
    <col min="4611" max="4611" width="35.69921875" style="432" customWidth="1"/>
    <col min="4612" max="4612" width="16.19921875" style="432" customWidth="1"/>
    <col min="4613" max="4613" width="18.69921875" style="432" customWidth="1"/>
    <col min="4614" max="4614" width="16.19921875" style="432" bestFit="1" customWidth="1"/>
    <col min="4615" max="4616" width="15.3984375" style="432" bestFit="1" customWidth="1"/>
    <col min="4617" max="4618" width="13.09765625" style="432" customWidth="1"/>
    <col min="4619" max="4620" width="12.8984375" style="432" customWidth="1"/>
    <col min="4621" max="4621" width="14.3984375" style="432" bestFit="1" customWidth="1"/>
    <col min="4622" max="4622" width="5.5" style="432" customWidth="1"/>
    <col min="4623" max="4623" width="14" style="432" customWidth="1"/>
    <col min="4624" max="4624" width="16.19921875" style="432" customWidth="1"/>
    <col min="4625" max="4625" width="16" style="432" customWidth="1"/>
    <col min="4626" max="4626" width="3.09765625" style="432" customWidth="1"/>
    <col min="4627" max="4627" width="13.3984375" style="432" bestFit="1" customWidth="1"/>
    <col min="4628" max="4628" width="13.5" style="432" bestFit="1" customWidth="1"/>
    <col min="4629" max="4629" width="16.8984375" style="432" bestFit="1" customWidth="1"/>
    <col min="4630" max="4630" width="13.59765625" style="432" bestFit="1" customWidth="1"/>
    <col min="4631" max="4631" width="14" style="432" customWidth="1"/>
    <col min="4632" max="4632" width="15.09765625" style="432" customWidth="1"/>
    <col min="4633" max="4633" width="12.5" style="432" customWidth="1"/>
    <col min="4634" max="4634" width="15.8984375" style="432" customWidth="1"/>
    <col min="4635" max="4635" width="14" style="432" customWidth="1"/>
    <col min="4636" max="4637" width="14" style="432" bestFit="1" customWidth="1"/>
    <col min="4638" max="4638" width="15.5" style="432" customWidth="1"/>
    <col min="4639" max="4639" width="14" style="432" bestFit="1" customWidth="1"/>
    <col min="4640" max="4640" width="15.3984375" style="432" bestFit="1" customWidth="1"/>
    <col min="4641" max="4641" width="13.09765625" style="432" bestFit="1" customWidth="1"/>
    <col min="4642" max="4865" width="11.09765625" style="432"/>
    <col min="4866" max="4866" width="3.09765625" style="432" customWidth="1"/>
    <col min="4867" max="4867" width="35.69921875" style="432" customWidth="1"/>
    <col min="4868" max="4868" width="16.19921875" style="432" customWidth="1"/>
    <col min="4869" max="4869" width="18.69921875" style="432" customWidth="1"/>
    <col min="4870" max="4870" width="16.19921875" style="432" bestFit="1" customWidth="1"/>
    <col min="4871" max="4872" width="15.3984375" style="432" bestFit="1" customWidth="1"/>
    <col min="4873" max="4874" width="13.09765625" style="432" customWidth="1"/>
    <col min="4875" max="4876" width="12.8984375" style="432" customWidth="1"/>
    <col min="4877" max="4877" width="14.3984375" style="432" bestFit="1" customWidth="1"/>
    <col min="4878" max="4878" width="5.5" style="432" customWidth="1"/>
    <col min="4879" max="4879" width="14" style="432" customWidth="1"/>
    <col min="4880" max="4880" width="16.19921875" style="432" customWidth="1"/>
    <col min="4881" max="4881" width="16" style="432" customWidth="1"/>
    <col min="4882" max="4882" width="3.09765625" style="432" customWidth="1"/>
    <col min="4883" max="4883" width="13.3984375" style="432" bestFit="1" customWidth="1"/>
    <col min="4884" max="4884" width="13.5" style="432" bestFit="1" customWidth="1"/>
    <col min="4885" max="4885" width="16.8984375" style="432" bestFit="1" customWidth="1"/>
    <col min="4886" max="4886" width="13.59765625" style="432" bestFit="1" customWidth="1"/>
    <col min="4887" max="4887" width="14" style="432" customWidth="1"/>
    <col min="4888" max="4888" width="15.09765625" style="432" customWidth="1"/>
    <col min="4889" max="4889" width="12.5" style="432" customWidth="1"/>
    <col min="4890" max="4890" width="15.8984375" style="432" customWidth="1"/>
    <col min="4891" max="4891" width="14" style="432" customWidth="1"/>
    <col min="4892" max="4893" width="14" style="432" bestFit="1" customWidth="1"/>
    <col min="4894" max="4894" width="15.5" style="432" customWidth="1"/>
    <col min="4895" max="4895" width="14" style="432" bestFit="1" customWidth="1"/>
    <col min="4896" max="4896" width="15.3984375" style="432" bestFit="1" customWidth="1"/>
    <col min="4897" max="4897" width="13.09765625" style="432" bestFit="1" customWidth="1"/>
    <col min="4898" max="5121" width="11.09765625" style="432"/>
    <col min="5122" max="5122" width="3.09765625" style="432" customWidth="1"/>
    <col min="5123" max="5123" width="35.69921875" style="432" customWidth="1"/>
    <col min="5124" max="5124" width="16.19921875" style="432" customWidth="1"/>
    <col min="5125" max="5125" width="18.69921875" style="432" customWidth="1"/>
    <col min="5126" max="5126" width="16.19921875" style="432" bestFit="1" customWidth="1"/>
    <col min="5127" max="5128" width="15.3984375" style="432" bestFit="1" customWidth="1"/>
    <col min="5129" max="5130" width="13.09765625" style="432" customWidth="1"/>
    <col min="5131" max="5132" width="12.8984375" style="432" customWidth="1"/>
    <col min="5133" max="5133" width="14.3984375" style="432" bestFit="1" customWidth="1"/>
    <col min="5134" max="5134" width="5.5" style="432" customWidth="1"/>
    <col min="5135" max="5135" width="14" style="432" customWidth="1"/>
    <col min="5136" max="5136" width="16.19921875" style="432" customWidth="1"/>
    <col min="5137" max="5137" width="16" style="432" customWidth="1"/>
    <col min="5138" max="5138" width="3.09765625" style="432" customWidth="1"/>
    <col min="5139" max="5139" width="13.3984375" style="432" bestFit="1" customWidth="1"/>
    <col min="5140" max="5140" width="13.5" style="432" bestFit="1" customWidth="1"/>
    <col min="5141" max="5141" width="16.8984375" style="432" bestFit="1" customWidth="1"/>
    <col min="5142" max="5142" width="13.59765625" style="432" bestFit="1" customWidth="1"/>
    <col min="5143" max="5143" width="14" style="432" customWidth="1"/>
    <col min="5144" max="5144" width="15.09765625" style="432" customWidth="1"/>
    <col min="5145" max="5145" width="12.5" style="432" customWidth="1"/>
    <col min="5146" max="5146" width="15.8984375" style="432" customWidth="1"/>
    <col min="5147" max="5147" width="14" style="432" customWidth="1"/>
    <col min="5148" max="5149" width="14" style="432" bestFit="1" customWidth="1"/>
    <col min="5150" max="5150" width="15.5" style="432" customWidth="1"/>
    <col min="5151" max="5151" width="14" style="432" bestFit="1" customWidth="1"/>
    <col min="5152" max="5152" width="15.3984375" style="432" bestFit="1" customWidth="1"/>
    <col min="5153" max="5153" width="13.09765625" style="432" bestFit="1" customWidth="1"/>
    <col min="5154" max="5377" width="11.09765625" style="432"/>
    <col min="5378" max="5378" width="3.09765625" style="432" customWidth="1"/>
    <col min="5379" max="5379" width="35.69921875" style="432" customWidth="1"/>
    <col min="5380" max="5380" width="16.19921875" style="432" customWidth="1"/>
    <col min="5381" max="5381" width="18.69921875" style="432" customWidth="1"/>
    <col min="5382" max="5382" width="16.19921875" style="432" bestFit="1" customWidth="1"/>
    <col min="5383" max="5384" width="15.3984375" style="432" bestFit="1" customWidth="1"/>
    <col min="5385" max="5386" width="13.09765625" style="432" customWidth="1"/>
    <col min="5387" max="5388" width="12.8984375" style="432" customWidth="1"/>
    <col min="5389" max="5389" width="14.3984375" style="432" bestFit="1" customWidth="1"/>
    <col min="5390" max="5390" width="5.5" style="432" customWidth="1"/>
    <col min="5391" max="5391" width="14" style="432" customWidth="1"/>
    <col min="5392" max="5392" width="16.19921875" style="432" customWidth="1"/>
    <col min="5393" max="5393" width="16" style="432" customWidth="1"/>
    <col min="5394" max="5394" width="3.09765625" style="432" customWidth="1"/>
    <col min="5395" max="5395" width="13.3984375" style="432" bestFit="1" customWidth="1"/>
    <col min="5396" max="5396" width="13.5" style="432" bestFit="1" customWidth="1"/>
    <col min="5397" max="5397" width="16.8984375" style="432" bestFit="1" customWidth="1"/>
    <col min="5398" max="5398" width="13.59765625" style="432" bestFit="1" customWidth="1"/>
    <col min="5399" max="5399" width="14" style="432" customWidth="1"/>
    <col min="5400" max="5400" width="15.09765625" style="432" customWidth="1"/>
    <col min="5401" max="5401" width="12.5" style="432" customWidth="1"/>
    <col min="5402" max="5402" width="15.8984375" style="432" customWidth="1"/>
    <col min="5403" max="5403" width="14" style="432" customWidth="1"/>
    <col min="5404" max="5405" width="14" style="432" bestFit="1" customWidth="1"/>
    <col min="5406" max="5406" width="15.5" style="432" customWidth="1"/>
    <col min="5407" max="5407" width="14" style="432" bestFit="1" customWidth="1"/>
    <col min="5408" max="5408" width="15.3984375" style="432" bestFit="1" customWidth="1"/>
    <col min="5409" max="5409" width="13.09765625" style="432" bestFit="1" customWidth="1"/>
    <col min="5410" max="5633" width="11.09765625" style="432"/>
    <col min="5634" max="5634" width="3.09765625" style="432" customWidth="1"/>
    <col min="5635" max="5635" width="35.69921875" style="432" customWidth="1"/>
    <col min="5636" max="5636" width="16.19921875" style="432" customWidth="1"/>
    <col min="5637" max="5637" width="18.69921875" style="432" customWidth="1"/>
    <col min="5638" max="5638" width="16.19921875" style="432" bestFit="1" customWidth="1"/>
    <col min="5639" max="5640" width="15.3984375" style="432" bestFit="1" customWidth="1"/>
    <col min="5641" max="5642" width="13.09765625" style="432" customWidth="1"/>
    <col min="5643" max="5644" width="12.8984375" style="432" customWidth="1"/>
    <col min="5645" max="5645" width="14.3984375" style="432" bestFit="1" customWidth="1"/>
    <col min="5646" max="5646" width="5.5" style="432" customWidth="1"/>
    <col min="5647" max="5647" width="14" style="432" customWidth="1"/>
    <col min="5648" max="5648" width="16.19921875" style="432" customWidth="1"/>
    <col min="5649" max="5649" width="16" style="432" customWidth="1"/>
    <col min="5650" max="5650" width="3.09765625" style="432" customWidth="1"/>
    <col min="5651" max="5651" width="13.3984375" style="432" bestFit="1" customWidth="1"/>
    <col min="5652" max="5652" width="13.5" style="432" bestFit="1" customWidth="1"/>
    <col min="5653" max="5653" width="16.8984375" style="432" bestFit="1" customWidth="1"/>
    <col min="5654" max="5654" width="13.59765625" style="432" bestFit="1" customWidth="1"/>
    <col min="5655" max="5655" width="14" style="432" customWidth="1"/>
    <col min="5656" max="5656" width="15.09765625" style="432" customWidth="1"/>
    <col min="5657" max="5657" width="12.5" style="432" customWidth="1"/>
    <col min="5658" max="5658" width="15.8984375" style="432" customWidth="1"/>
    <col min="5659" max="5659" width="14" style="432" customWidth="1"/>
    <col min="5660" max="5661" width="14" style="432" bestFit="1" customWidth="1"/>
    <col min="5662" max="5662" width="15.5" style="432" customWidth="1"/>
    <col min="5663" max="5663" width="14" style="432" bestFit="1" customWidth="1"/>
    <col min="5664" max="5664" width="15.3984375" style="432" bestFit="1" customWidth="1"/>
    <col min="5665" max="5665" width="13.09765625" style="432" bestFit="1" customWidth="1"/>
    <col min="5666" max="5889" width="11.09765625" style="432"/>
    <col min="5890" max="5890" width="3.09765625" style="432" customWidth="1"/>
    <col min="5891" max="5891" width="35.69921875" style="432" customWidth="1"/>
    <col min="5892" max="5892" width="16.19921875" style="432" customWidth="1"/>
    <col min="5893" max="5893" width="18.69921875" style="432" customWidth="1"/>
    <col min="5894" max="5894" width="16.19921875" style="432" bestFit="1" customWidth="1"/>
    <col min="5895" max="5896" width="15.3984375" style="432" bestFit="1" customWidth="1"/>
    <col min="5897" max="5898" width="13.09765625" style="432" customWidth="1"/>
    <col min="5899" max="5900" width="12.8984375" style="432" customWidth="1"/>
    <col min="5901" max="5901" width="14.3984375" style="432" bestFit="1" customWidth="1"/>
    <col min="5902" max="5902" width="5.5" style="432" customWidth="1"/>
    <col min="5903" max="5903" width="14" style="432" customWidth="1"/>
    <col min="5904" max="5904" width="16.19921875" style="432" customWidth="1"/>
    <col min="5905" max="5905" width="16" style="432" customWidth="1"/>
    <col min="5906" max="5906" width="3.09765625" style="432" customWidth="1"/>
    <col min="5907" max="5907" width="13.3984375" style="432" bestFit="1" customWidth="1"/>
    <col min="5908" max="5908" width="13.5" style="432" bestFit="1" customWidth="1"/>
    <col min="5909" max="5909" width="16.8984375" style="432" bestFit="1" customWidth="1"/>
    <col min="5910" max="5910" width="13.59765625" style="432" bestFit="1" customWidth="1"/>
    <col min="5911" max="5911" width="14" style="432" customWidth="1"/>
    <col min="5912" max="5912" width="15.09765625" style="432" customWidth="1"/>
    <col min="5913" max="5913" width="12.5" style="432" customWidth="1"/>
    <col min="5914" max="5914" width="15.8984375" style="432" customWidth="1"/>
    <col min="5915" max="5915" width="14" style="432" customWidth="1"/>
    <col min="5916" max="5917" width="14" style="432" bestFit="1" customWidth="1"/>
    <col min="5918" max="5918" width="15.5" style="432" customWidth="1"/>
    <col min="5919" max="5919" width="14" style="432" bestFit="1" customWidth="1"/>
    <col min="5920" max="5920" width="15.3984375" style="432" bestFit="1" customWidth="1"/>
    <col min="5921" max="5921" width="13.09765625" style="432" bestFit="1" customWidth="1"/>
    <col min="5922" max="6145" width="11.09765625" style="432"/>
    <col min="6146" max="6146" width="3.09765625" style="432" customWidth="1"/>
    <col min="6147" max="6147" width="35.69921875" style="432" customWidth="1"/>
    <col min="6148" max="6148" width="16.19921875" style="432" customWidth="1"/>
    <col min="6149" max="6149" width="18.69921875" style="432" customWidth="1"/>
    <col min="6150" max="6150" width="16.19921875" style="432" bestFit="1" customWidth="1"/>
    <col min="6151" max="6152" width="15.3984375" style="432" bestFit="1" customWidth="1"/>
    <col min="6153" max="6154" width="13.09765625" style="432" customWidth="1"/>
    <col min="6155" max="6156" width="12.8984375" style="432" customWidth="1"/>
    <col min="6157" max="6157" width="14.3984375" style="432" bestFit="1" customWidth="1"/>
    <col min="6158" max="6158" width="5.5" style="432" customWidth="1"/>
    <col min="6159" max="6159" width="14" style="432" customWidth="1"/>
    <col min="6160" max="6160" width="16.19921875" style="432" customWidth="1"/>
    <col min="6161" max="6161" width="16" style="432" customWidth="1"/>
    <col min="6162" max="6162" width="3.09765625" style="432" customWidth="1"/>
    <col min="6163" max="6163" width="13.3984375" style="432" bestFit="1" customWidth="1"/>
    <col min="6164" max="6164" width="13.5" style="432" bestFit="1" customWidth="1"/>
    <col min="6165" max="6165" width="16.8984375" style="432" bestFit="1" customWidth="1"/>
    <col min="6166" max="6166" width="13.59765625" style="432" bestFit="1" customWidth="1"/>
    <col min="6167" max="6167" width="14" style="432" customWidth="1"/>
    <col min="6168" max="6168" width="15.09765625" style="432" customWidth="1"/>
    <col min="6169" max="6169" width="12.5" style="432" customWidth="1"/>
    <col min="6170" max="6170" width="15.8984375" style="432" customWidth="1"/>
    <col min="6171" max="6171" width="14" style="432" customWidth="1"/>
    <col min="6172" max="6173" width="14" style="432" bestFit="1" customWidth="1"/>
    <col min="6174" max="6174" width="15.5" style="432" customWidth="1"/>
    <col min="6175" max="6175" width="14" style="432" bestFit="1" customWidth="1"/>
    <col min="6176" max="6176" width="15.3984375" style="432" bestFit="1" customWidth="1"/>
    <col min="6177" max="6177" width="13.09765625" style="432" bestFit="1" customWidth="1"/>
    <col min="6178" max="6401" width="11.09765625" style="432"/>
    <col min="6402" max="6402" width="3.09765625" style="432" customWidth="1"/>
    <col min="6403" max="6403" width="35.69921875" style="432" customWidth="1"/>
    <col min="6404" max="6404" width="16.19921875" style="432" customWidth="1"/>
    <col min="6405" max="6405" width="18.69921875" style="432" customWidth="1"/>
    <col min="6406" max="6406" width="16.19921875" style="432" bestFit="1" customWidth="1"/>
    <col min="6407" max="6408" width="15.3984375" style="432" bestFit="1" customWidth="1"/>
    <col min="6409" max="6410" width="13.09765625" style="432" customWidth="1"/>
    <col min="6411" max="6412" width="12.8984375" style="432" customWidth="1"/>
    <col min="6413" max="6413" width="14.3984375" style="432" bestFit="1" customWidth="1"/>
    <col min="6414" max="6414" width="5.5" style="432" customWidth="1"/>
    <col min="6415" max="6415" width="14" style="432" customWidth="1"/>
    <col min="6416" max="6416" width="16.19921875" style="432" customWidth="1"/>
    <col min="6417" max="6417" width="16" style="432" customWidth="1"/>
    <col min="6418" max="6418" width="3.09765625" style="432" customWidth="1"/>
    <col min="6419" max="6419" width="13.3984375" style="432" bestFit="1" customWidth="1"/>
    <col min="6420" max="6420" width="13.5" style="432" bestFit="1" customWidth="1"/>
    <col min="6421" max="6421" width="16.8984375" style="432" bestFit="1" customWidth="1"/>
    <col min="6422" max="6422" width="13.59765625" style="432" bestFit="1" customWidth="1"/>
    <col min="6423" max="6423" width="14" style="432" customWidth="1"/>
    <col min="6424" max="6424" width="15.09765625" style="432" customWidth="1"/>
    <col min="6425" max="6425" width="12.5" style="432" customWidth="1"/>
    <col min="6426" max="6426" width="15.8984375" style="432" customWidth="1"/>
    <col min="6427" max="6427" width="14" style="432" customWidth="1"/>
    <col min="6428" max="6429" width="14" style="432" bestFit="1" customWidth="1"/>
    <col min="6430" max="6430" width="15.5" style="432" customWidth="1"/>
    <col min="6431" max="6431" width="14" style="432" bestFit="1" customWidth="1"/>
    <col min="6432" max="6432" width="15.3984375" style="432" bestFit="1" customWidth="1"/>
    <col min="6433" max="6433" width="13.09765625" style="432" bestFit="1" customWidth="1"/>
    <col min="6434" max="6657" width="11.09765625" style="432"/>
    <col min="6658" max="6658" width="3.09765625" style="432" customWidth="1"/>
    <col min="6659" max="6659" width="35.69921875" style="432" customWidth="1"/>
    <col min="6660" max="6660" width="16.19921875" style="432" customWidth="1"/>
    <col min="6661" max="6661" width="18.69921875" style="432" customWidth="1"/>
    <col min="6662" max="6662" width="16.19921875" style="432" bestFit="1" customWidth="1"/>
    <col min="6663" max="6664" width="15.3984375" style="432" bestFit="1" customWidth="1"/>
    <col min="6665" max="6666" width="13.09765625" style="432" customWidth="1"/>
    <col min="6667" max="6668" width="12.8984375" style="432" customWidth="1"/>
    <col min="6669" max="6669" width="14.3984375" style="432" bestFit="1" customWidth="1"/>
    <col min="6670" max="6670" width="5.5" style="432" customWidth="1"/>
    <col min="6671" max="6671" width="14" style="432" customWidth="1"/>
    <col min="6672" max="6672" width="16.19921875" style="432" customWidth="1"/>
    <col min="6673" max="6673" width="16" style="432" customWidth="1"/>
    <col min="6674" max="6674" width="3.09765625" style="432" customWidth="1"/>
    <col min="6675" max="6675" width="13.3984375" style="432" bestFit="1" customWidth="1"/>
    <col min="6676" max="6676" width="13.5" style="432" bestFit="1" customWidth="1"/>
    <col min="6677" max="6677" width="16.8984375" style="432" bestFit="1" customWidth="1"/>
    <col min="6678" max="6678" width="13.59765625" style="432" bestFit="1" customWidth="1"/>
    <col min="6679" max="6679" width="14" style="432" customWidth="1"/>
    <col min="6680" max="6680" width="15.09765625" style="432" customWidth="1"/>
    <col min="6681" max="6681" width="12.5" style="432" customWidth="1"/>
    <col min="6682" max="6682" width="15.8984375" style="432" customWidth="1"/>
    <col min="6683" max="6683" width="14" style="432" customWidth="1"/>
    <col min="6684" max="6685" width="14" style="432" bestFit="1" customWidth="1"/>
    <col min="6686" max="6686" width="15.5" style="432" customWidth="1"/>
    <col min="6687" max="6687" width="14" style="432" bestFit="1" customWidth="1"/>
    <col min="6688" max="6688" width="15.3984375" style="432" bestFit="1" customWidth="1"/>
    <col min="6689" max="6689" width="13.09765625" style="432" bestFit="1" customWidth="1"/>
    <col min="6690" max="6913" width="11.09765625" style="432"/>
    <col min="6914" max="6914" width="3.09765625" style="432" customWidth="1"/>
    <col min="6915" max="6915" width="35.69921875" style="432" customWidth="1"/>
    <col min="6916" max="6916" width="16.19921875" style="432" customWidth="1"/>
    <col min="6917" max="6917" width="18.69921875" style="432" customWidth="1"/>
    <col min="6918" max="6918" width="16.19921875" style="432" bestFit="1" customWidth="1"/>
    <col min="6919" max="6920" width="15.3984375" style="432" bestFit="1" customWidth="1"/>
    <col min="6921" max="6922" width="13.09765625" style="432" customWidth="1"/>
    <col min="6923" max="6924" width="12.8984375" style="432" customWidth="1"/>
    <col min="6925" max="6925" width="14.3984375" style="432" bestFit="1" customWidth="1"/>
    <col min="6926" max="6926" width="5.5" style="432" customWidth="1"/>
    <col min="6927" max="6927" width="14" style="432" customWidth="1"/>
    <col min="6928" max="6928" width="16.19921875" style="432" customWidth="1"/>
    <col min="6929" max="6929" width="16" style="432" customWidth="1"/>
    <col min="6930" max="6930" width="3.09765625" style="432" customWidth="1"/>
    <col min="6931" max="6931" width="13.3984375" style="432" bestFit="1" customWidth="1"/>
    <col min="6932" max="6932" width="13.5" style="432" bestFit="1" customWidth="1"/>
    <col min="6933" max="6933" width="16.8984375" style="432" bestFit="1" customWidth="1"/>
    <col min="6934" max="6934" width="13.59765625" style="432" bestFit="1" customWidth="1"/>
    <col min="6935" max="6935" width="14" style="432" customWidth="1"/>
    <col min="6936" max="6936" width="15.09765625" style="432" customWidth="1"/>
    <col min="6937" max="6937" width="12.5" style="432" customWidth="1"/>
    <col min="6938" max="6938" width="15.8984375" style="432" customWidth="1"/>
    <col min="6939" max="6939" width="14" style="432" customWidth="1"/>
    <col min="6940" max="6941" width="14" style="432" bestFit="1" customWidth="1"/>
    <col min="6942" max="6942" width="15.5" style="432" customWidth="1"/>
    <col min="6943" max="6943" width="14" style="432" bestFit="1" customWidth="1"/>
    <col min="6944" max="6944" width="15.3984375" style="432" bestFit="1" customWidth="1"/>
    <col min="6945" max="6945" width="13.09765625" style="432" bestFit="1" customWidth="1"/>
    <col min="6946" max="7169" width="11.09765625" style="432"/>
    <col min="7170" max="7170" width="3.09765625" style="432" customWidth="1"/>
    <col min="7171" max="7171" width="35.69921875" style="432" customWidth="1"/>
    <col min="7172" max="7172" width="16.19921875" style="432" customWidth="1"/>
    <col min="7173" max="7173" width="18.69921875" style="432" customWidth="1"/>
    <col min="7174" max="7174" width="16.19921875" style="432" bestFit="1" customWidth="1"/>
    <col min="7175" max="7176" width="15.3984375" style="432" bestFit="1" customWidth="1"/>
    <col min="7177" max="7178" width="13.09765625" style="432" customWidth="1"/>
    <col min="7179" max="7180" width="12.8984375" style="432" customWidth="1"/>
    <col min="7181" max="7181" width="14.3984375" style="432" bestFit="1" customWidth="1"/>
    <col min="7182" max="7182" width="5.5" style="432" customWidth="1"/>
    <col min="7183" max="7183" width="14" style="432" customWidth="1"/>
    <col min="7184" max="7184" width="16.19921875" style="432" customWidth="1"/>
    <col min="7185" max="7185" width="16" style="432" customWidth="1"/>
    <col min="7186" max="7186" width="3.09765625" style="432" customWidth="1"/>
    <col min="7187" max="7187" width="13.3984375" style="432" bestFit="1" customWidth="1"/>
    <col min="7188" max="7188" width="13.5" style="432" bestFit="1" customWidth="1"/>
    <col min="7189" max="7189" width="16.8984375" style="432" bestFit="1" customWidth="1"/>
    <col min="7190" max="7190" width="13.59765625" style="432" bestFit="1" customWidth="1"/>
    <col min="7191" max="7191" width="14" style="432" customWidth="1"/>
    <col min="7192" max="7192" width="15.09765625" style="432" customWidth="1"/>
    <col min="7193" max="7193" width="12.5" style="432" customWidth="1"/>
    <col min="7194" max="7194" width="15.8984375" style="432" customWidth="1"/>
    <col min="7195" max="7195" width="14" style="432" customWidth="1"/>
    <col min="7196" max="7197" width="14" style="432" bestFit="1" customWidth="1"/>
    <col min="7198" max="7198" width="15.5" style="432" customWidth="1"/>
    <col min="7199" max="7199" width="14" style="432" bestFit="1" customWidth="1"/>
    <col min="7200" max="7200" width="15.3984375" style="432" bestFit="1" customWidth="1"/>
    <col min="7201" max="7201" width="13.09765625" style="432" bestFit="1" customWidth="1"/>
    <col min="7202" max="7425" width="11.09765625" style="432"/>
    <col min="7426" max="7426" width="3.09765625" style="432" customWidth="1"/>
    <col min="7427" max="7427" width="35.69921875" style="432" customWidth="1"/>
    <col min="7428" max="7428" width="16.19921875" style="432" customWidth="1"/>
    <col min="7429" max="7429" width="18.69921875" style="432" customWidth="1"/>
    <col min="7430" max="7430" width="16.19921875" style="432" bestFit="1" customWidth="1"/>
    <col min="7431" max="7432" width="15.3984375" style="432" bestFit="1" customWidth="1"/>
    <col min="7433" max="7434" width="13.09765625" style="432" customWidth="1"/>
    <col min="7435" max="7436" width="12.8984375" style="432" customWidth="1"/>
    <col min="7437" max="7437" width="14.3984375" style="432" bestFit="1" customWidth="1"/>
    <col min="7438" max="7438" width="5.5" style="432" customWidth="1"/>
    <col min="7439" max="7439" width="14" style="432" customWidth="1"/>
    <col min="7440" max="7440" width="16.19921875" style="432" customWidth="1"/>
    <col min="7441" max="7441" width="16" style="432" customWidth="1"/>
    <col min="7442" max="7442" width="3.09765625" style="432" customWidth="1"/>
    <col min="7443" max="7443" width="13.3984375" style="432" bestFit="1" customWidth="1"/>
    <col min="7444" max="7444" width="13.5" style="432" bestFit="1" customWidth="1"/>
    <col min="7445" max="7445" width="16.8984375" style="432" bestFit="1" customWidth="1"/>
    <col min="7446" max="7446" width="13.59765625" style="432" bestFit="1" customWidth="1"/>
    <col min="7447" max="7447" width="14" style="432" customWidth="1"/>
    <col min="7448" max="7448" width="15.09765625" style="432" customWidth="1"/>
    <col min="7449" max="7449" width="12.5" style="432" customWidth="1"/>
    <col min="7450" max="7450" width="15.8984375" style="432" customWidth="1"/>
    <col min="7451" max="7451" width="14" style="432" customWidth="1"/>
    <col min="7452" max="7453" width="14" style="432" bestFit="1" customWidth="1"/>
    <col min="7454" max="7454" width="15.5" style="432" customWidth="1"/>
    <col min="7455" max="7455" width="14" style="432" bestFit="1" customWidth="1"/>
    <col min="7456" max="7456" width="15.3984375" style="432" bestFit="1" customWidth="1"/>
    <col min="7457" max="7457" width="13.09765625" style="432" bestFit="1" customWidth="1"/>
    <col min="7458" max="7681" width="11.09765625" style="432"/>
    <col min="7682" max="7682" width="3.09765625" style="432" customWidth="1"/>
    <col min="7683" max="7683" width="35.69921875" style="432" customWidth="1"/>
    <col min="7684" max="7684" width="16.19921875" style="432" customWidth="1"/>
    <col min="7685" max="7685" width="18.69921875" style="432" customWidth="1"/>
    <col min="7686" max="7686" width="16.19921875" style="432" bestFit="1" customWidth="1"/>
    <col min="7687" max="7688" width="15.3984375" style="432" bestFit="1" customWidth="1"/>
    <col min="7689" max="7690" width="13.09765625" style="432" customWidth="1"/>
    <col min="7691" max="7692" width="12.8984375" style="432" customWidth="1"/>
    <col min="7693" max="7693" width="14.3984375" style="432" bestFit="1" customWidth="1"/>
    <col min="7694" max="7694" width="5.5" style="432" customWidth="1"/>
    <col min="7695" max="7695" width="14" style="432" customWidth="1"/>
    <col min="7696" max="7696" width="16.19921875" style="432" customWidth="1"/>
    <col min="7697" max="7697" width="16" style="432" customWidth="1"/>
    <col min="7698" max="7698" width="3.09765625" style="432" customWidth="1"/>
    <col min="7699" max="7699" width="13.3984375" style="432" bestFit="1" customWidth="1"/>
    <col min="7700" max="7700" width="13.5" style="432" bestFit="1" customWidth="1"/>
    <col min="7701" max="7701" width="16.8984375" style="432" bestFit="1" customWidth="1"/>
    <col min="7702" max="7702" width="13.59765625" style="432" bestFit="1" customWidth="1"/>
    <col min="7703" max="7703" width="14" style="432" customWidth="1"/>
    <col min="7704" max="7704" width="15.09765625" style="432" customWidth="1"/>
    <col min="7705" max="7705" width="12.5" style="432" customWidth="1"/>
    <col min="7706" max="7706" width="15.8984375" style="432" customWidth="1"/>
    <col min="7707" max="7707" width="14" style="432" customWidth="1"/>
    <col min="7708" max="7709" width="14" style="432" bestFit="1" customWidth="1"/>
    <col min="7710" max="7710" width="15.5" style="432" customWidth="1"/>
    <col min="7711" max="7711" width="14" style="432" bestFit="1" customWidth="1"/>
    <col min="7712" max="7712" width="15.3984375" style="432" bestFit="1" customWidth="1"/>
    <col min="7713" max="7713" width="13.09765625" style="432" bestFit="1" customWidth="1"/>
    <col min="7714" max="7937" width="11.09765625" style="432"/>
    <col min="7938" max="7938" width="3.09765625" style="432" customWidth="1"/>
    <col min="7939" max="7939" width="35.69921875" style="432" customWidth="1"/>
    <col min="7940" max="7940" width="16.19921875" style="432" customWidth="1"/>
    <col min="7941" max="7941" width="18.69921875" style="432" customWidth="1"/>
    <col min="7942" max="7942" width="16.19921875" style="432" bestFit="1" customWidth="1"/>
    <col min="7943" max="7944" width="15.3984375" style="432" bestFit="1" customWidth="1"/>
    <col min="7945" max="7946" width="13.09765625" style="432" customWidth="1"/>
    <col min="7947" max="7948" width="12.8984375" style="432" customWidth="1"/>
    <col min="7949" max="7949" width="14.3984375" style="432" bestFit="1" customWidth="1"/>
    <col min="7950" max="7950" width="5.5" style="432" customWidth="1"/>
    <col min="7951" max="7951" width="14" style="432" customWidth="1"/>
    <col min="7952" max="7952" width="16.19921875" style="432" customWidth="1"/>
    <col min="7953" max="7953" width="16" style="432" customWidth="1"/>
    <col min="7954" max="7954" width="3.09765625" style="432" customWidth="1"/>
    <col min="7955" max="7955" width="13.3984375" style="432" bestFit="1" customWidth="1"/>
    <col min="7956" max="7956" width="13.5" style="432" bestFit="1" customWidth="1"/>
    <col min="7957" max="7957" width="16.8984375" style="432" bestFit="1" customWidth="1"/>
    <col min="7958" max="7958" width="13.59765625" style="432" bestFit="1" customWidth="1"/>
    <col min="7959" max="7959" width="14" style="432" customWidth="1"/>
    <col min="7960" max="7960" width="15.09765625" style="432" customWidth="1"/>
    <col min="7961" max="7961" width="12.5" style="432" customWidth="1"/>
    <col min="7962" max="7962" width="15.8984375" style="432" customWidth="1"/>
    <col min="7963" max="7963" width="14" style="432" customWidth="1"/>
    <col min="7964" max="7965" width="14" style="432" bestFit="1" customWidth="1"/>
    <col min="7966" max="7966" width="15.5" style="432" customWidth="1"/>
    <col min="7967" max="7967" width="14" style="432" bestFit="1" customWidth="1"/>
    <col min="7968" max="7968" width="15.3984375" style="432" bestFit="1" customWidth="1"/>
    <col min="7969" max="7969" width="13.09765625" style="432" bestFit="1" customWidth="1"/>
    <col min="7970" max="8193" width="11.09765625" style="432"/>
    <col min="8194" max="8194" width="3.09765625" style="432" customWidth="1"/>
    <col min="8195" max="8195" width="35.69921875" style="432" customWidth="1"/>
    <col min="8196" max="8196" width="16.19921875" style="432" customWidth="1"/>
    <col min="8197" max="8197" width="18.69921875" style="432" customWidth="1"/>
    <col min="8198" max="8198" width="16.19921875" style="432" bestFit="1" customWidth="1"/>
    <col min="8199" max="8200" width="15.3984375" style="432" bestFit="1" customWidth="1"/>
    <col min="8201" max="8202" width="13.09765625" style="432" customWidth="1"/>
    <col min="8203" max="8204" width="12.8984375" style="432" customWidth="1"/>
    <col min="8205" max="8205" width="14.3984375" style="432" bestFit="1" customWidth="1"/>
    <col min="8206" max="8206" width="5.5" style="432" customWidth="1"/>
    <col min="8207" max="8207" width="14" style="432" customWidth="1"/>
    <col min="8208" max="8208" width="16.19921875" style="432" customWidth="1"/>
    <col min="8209" max="8209" width="16" style="432" customWidth="1"/>
    <col min="8210" max="8210" width="3.09765625" style="432" customWidth="1"/>
    <col min="8211" max="8211" width="13.3984375" style="432" bestFit="1" customWidth="1"/>
    <col min="8212" max="8212" width="13.5" style="432" bestFit="1" customWidth="1"/>
    <col min="8213" max="8213" width="16.8984375" style="432" bestFit="1" customWidth="1"/>
    <col min="8214" max="8214" width="13.59765625" style="432" bestFit="1" customWidth="1"/>
    <col min="8215" max="8215" width="14" style="432" customWidth="1"/>
    <col min="8216" max="8216" width="15.09765625" style="432" customWidth="1"/>
    <col min="8217" max="8217" width="12.5" style="432" customWidth="1"/>
    <col min="8218" max="8218" width="15.8984375" style="432" customWidth="1"/>
    <col min="8219" max="8219" width="14" style="432" customWidth="1"/>
    <col min="8220" max="8221" width="14" style="432" bestFit="1" customWidth="1"/>
    <col min="8222" max="8222" width="15.5" style="432" customWidth="1"/>
    <col min="8223" max="8223" width="14" style="432" bestFit="1" customWidth="1"/>
    <col min="8224" max="8224" width="15.3984375" style="432" bestFit="1" customWidth="1"/>
    <col min="8225" max="8225" width="13.09765625" style="432" bestFit="1" customWidth="1"/>
    <col min="8226" max="8449" width="11.09765625" style="432"/>
    <col min="8450" max="8450" width="3.09765625" style="432" customWidth="1"/>
    <col min="8451" max="8451" width="35.69921875" style="432" customWidth="1"/>
    <col min="8452" max="8452" width="16.19921875" style="432" customWidth="1"/>
    <col min="8453" max="8453" width="18.69921875" style="432" customWidth="1"/>
    <col min="8454" max="8454" width="16.19921875" style="432" bestFit="1" customWidth="1"/>
    <col min="8455" max="8456" width="15.3984375" style="432" bestFit="1" customWidth="1"/>
    <col min="8457" max="8458" width="13.09765625" style="432" customWidth="1"/>
    <col min="8459" max="8460" width="12.8984375" style="432" customWidth="1"/>
    <col min="8461" max="8461" width="14.3984375" style="432" bestFit="1" customWidth="1"/>
    <col min="8462" max="8462" width="5.5" style="432" customWidth="1"/>
    <col min="8463" max="8463" width="14" style="432" customWidth="1"/>
    <col min="8464" max="8464" width="16.19921875" style="432" customWidth="1"/>
    <col min="8465" max="8465" width="16" style="432" customWidth="1"/>
    <col min="8466" max="8466" width="3.09765625" style="432" customWidth="1"/>
    <col min="8467" max="8467" width="13.3984375" style="432" bestFit="1" customWidth="1"/>
    <col min="8468" max="8468" width="13.5" style="432" bestFit="1" customWidth="1"/>
    <col min="8469" max="8469" width="16.8984375" style="432" bestFit="1" customWidth="1"/>
    <col min="8470" max="8470" width="13.59765625" style="432" bestFit="1" customWidth="1"/>
    <col min="8471" max="8471" width="14" style="432" customWidth="1"/>
    <col min="8472" max="8472" width="15.09765625" style="432" customWidth="1"/>
    <col min="8473" max="8473" width="12.5" style="432" customWidth="1"/>
    <col min="8474" max="8474" width="15.8984375" style="432" customWidth="1"/>
    <col min="8475" max="8475" width="14" style="432" customWidth="1"/>
    <col min="8476" max="8477" width="14" style="432" bestFit="1" customWidth="1"/>
    <col min="8478" max="8478" width="15.5" style="432" customWidth="1"/>
    <col min="8479" max="8479" width="14" style="432" bestFit="1" customWidth="1"/>
    <col min="8480" max="8480" width="15.3984375" style="432" bestFit="1" customWidth="1"/>
    <col min="8481" max="8481" width="13.09765625" style="432" bestFit="1" customWidth="1"/>
    <col min="8482" max="8705" width="11.09765625" style="432"/>
    <col min="8706" max="8706" width="3.09765625" style="432" customWidth="1"/>
    <col min="8707" max="8707" width="35.69921875" style="432" customWidth="1"/>
    <col min="8708" max="8708" width="16.19921875" style="432" customWidth="1"/>
    <col min="8709" max="8709" width="18.69921875" style="432" customWidth="1"/>
    <col min="8710" max="8710" width="16.19921875" style="432" bestFit="1" customWidth="1"/>
    <col min="8711" max="8712" width="15.3984375" style="432" bestFit="1" customWidth="1"/>
    <col min="8713" max="8714" width="13.09765625" style="432" customWidth="1"/>
    <col min="8715" max="8716" width="12.8984375" style="432" customWidth="1"/>
    <col min="8717" max="8717" width="14.3984375" style="432" bestFit="1" customWidth="1"/>
    <col min="8718" max="8718" width="5.5" style="432" customWidth="1"/>
    <col min="8719" max="8719" width="14" style="432" customWidth="1"/>
    <col min="8720" max="8720" width="16.19921875" style="432" customWidth="1"/>
    <col min="8721" max="8721" width="16" style="432" customWidth="1"/>
    <col min="8722" max="8722" width="3.09765625" style="432" customWidth="1"/>
    <col min="8723" max="8723" width="13.3984375" style="432" bestFit="1" customWidth="1"/>
    <col min="8724" max="8724" width="13.5" style="432" bestFit="1" customWidth="1"/>
    <col min="8725" max="8725" width="16.8984375" style="432" bestFit="1" customWidth="1"/>
    <col min="8726" max="8726" width="13.59765625" style="432" bestFit="1" customWidth="1"/>
    <col min="8727" max="8727" width="14" style="432" customWidth="1"/>
    <col min="8728" max="8728" width="15.09765625" style="432" customWidth="1"/>
    <col min="8729" max="8729" width="12.5" style="432" customWidth="1"/>
    <col min="8730" max="8730" width="15.8984375" style="432" customWidth="1"/>
    <col min="8731" max="8731" width="14" style="432" customWidth="1"/>
    <col min="8732" max="8733" width="14" style="432" bestFit="1" customWidth="1"/>
    <col min="8734" max="8734" width="15.5" style="432" customWidth="1"/>
    <col min="8735" max="8735" width="14" style="432" bestFit="1" customWidth="1"/>
    <col min="8736" max="8736" width="15.3984375" style="432" bestFit="1" customWidth="1"/>
    <col min="8737" max="8737" width="13.09765625" style="432" bestFit="1" customWidth="1"/>
    <col min="8738" max="8961" width="11.09765625" style="432"/>
    <col min="8962" max="8962" width="3.09765625" style="432" customWidth="1"/>
    <col min="8963" max="8963" width="35.69921875" style="432" customWidth="1"/>
    <col min="8964" max="8964" width="16.19921875" style="432" customWidth="1"/>
    <col min="8965" max="8965" width="18.69921875" style="432" customWidth="1"/>
    <col min="8966" max="8966" width="16.19921875" style="432" bestFit="1" customWidth="1"/>
    <col min="8967" max="8968" width="15.3984375" style="432" bestFit="1" customWidth="1"/>
    <col min="8969" max="8970" width="13.09765625" style="432" customWidth="1"/>
    <col min="8971" max="8972" width="12.8984375" style="432" customWidth="1"/>
    <col min="8973" max="8973" width="14.3984375" style="432" bestFit="1" customWidth="1"/>
    <col min="8974" max="8974" width="5.5" style="432" customWidth="1"/>
    <col min="8975" max="8975" width="14" style="432" customWidth="1"/>
    <col min="8976" max="8976" width="16.19921875" style="432" customWidth="1"/>
    <col min="8977" max="8977" width="16" style="432" customWidth="1"/>
    <col min="8978" max="8978" width="3.09765625" style="432" customWidth="1"/>
    <col min="8979" max="8979" width="13.3984375" style="432" bestFit="1" customWidth="1"/>
    <col min="8980" max="8980" width="13.5" style="432" bestFit="1" customWidth="1"/>
    <col min="8981" max="8981" width="16.8984375" style="432" bestFit="1" customWidth="1"/>
    <col min="8982" max="8982" width="13.59765625" style="432" bestFit="1" customWidth="1"/>
    <col min="8983" max="8983" width="14" style="432" customWidth="1"/>
    <col min="8984" max="8984" width="15.09765625" style="432" customWidth="1"/>
    <col min="8985" max="8985" width="12.5" style="432" customWidth="1"/>
    <col min="8986" max="8986" width="15.8984375" style="432" customWidth="1"/>
    <col min="8987" max="8987" width="14" style="432" customWidth="1"/>
    <col min="8988" max="8989" width="14" style="432" bestFit="1" customWidth="1"/>
    <col min="8990" max="8990" width="15.5" style="432" customWidth="1"/>
    <col min="8991" max="8991" width="14" style="432" bestFit="1" customWidth="1"/>
    <col min="8992" max="8992" width="15.3984375" style="432" bestFit="1" customWidth="1"/>
    <col min="8993" max="8993" width="13.09765625" style="432" bestFit="1" customWidth="1"/>
    <col min="8994" max="9217" width="11.09765625" style="432"/>
    <col min="9218" max="9218" width="3.09765625" style="432" customWidth="1"/>
    <col min="9219" max="9219" width="35.69921875" style="432" customWidth="1"/>
    <col min="9220" max="9220" width="16.19921875" style="432" customWidth="1"/>
    <col min="9221" max="9221" width="18.69921875" style="432" customWidth="1"/>
    <col min="9222" max="9222" width="16.19921875" style="432" bestFit="1" customWidth="1"/>
    <col min="9223" max="9224" width="15.3984375" style="432" bestFit="1" customWidth="1"/>
    <col min="9225" max="9226" width="13.09765625" style="432" customWidth="1"/>
    <col min="9227" max="9228" width="12.8984375" style="432" customWidth="1"/>
    <col min="9229" max="9229" width="14.3984375" style="432" bestFit="1" customWidth="1"/>
    <col min="9230" max="9230" width="5.5" style="432" customWidth="1"/>
    <col min="9231" max="9231" width="14" style="432" customWidth="1"/>
    <col min="9232" max="9232" width="16.19921875" style="432" customWidth="1"/>
    <col min="9233" max="9233" width="16" style="432" customWidth="1"/>
    <col min="9234" max="9234" width="3.09765625" style="432" customWidth="1"/>
    <col min="9235" max="9235" width="13.3984375" style="432" bestFit="1" customWidth="1"/>
    <col min="9236" max="9236" width="13.5" style="432" bestFit="1" customWidth="1"/>
    <col min="9237" max="9237" width="16.8984375" style="432" bestFit="1" customWidth="1"/>
    <col min="9238" max="9238" width="13.59765625" style="432" bestFit="1" customWidth="1"/>
    <col min="9239" max="9239" width="14" style="432" customWidth="1"/>
    <col min="9240" max="9240" width="15.09765625" style="432" customWidth="1"/>
    <col min="9241" max="9241" width="12.5" style="432" customWidth="1"/>
    <col min="9242" max="9242" width="15.8984375" style="432" customWidth="1"/>
    <col min="9243" max="9243" width="14" style="432" customWidth="1"/>
    <col min="9244" max="9245" width="14" style="432" bestFit="1" customWidth="1"/>
    <col min="9246" max="9246" width="15.5" style="432" customWidth="1"/>
    <col min="9247" max="9247" width="14" style="432" bestFit="1" customWidth="1"/>
    <col min="9248" max="9248" width="15.3984375" style="432" bestFit="1" customWidth="1"/>
    <col min="9249" max="9249" width="13.09765625" style="432" bestFit="1" customWidth="1"/>
    <col min="9250" max="9473" width="11.09765625" style="432"/>
    <col min="9474" max="9474" width="3.09765625" style="432" customWidth="1"/>
    <col min="9475" max="9475" width="35.69921875" style="432" customWidth="1"/>
    <col min="9476" max="9476" width="16.19921875" style="432" customWidth="1"/>
    <col min="9477" max="9477" width="18.69921875" style="432" customWidth="1"/>
    <col min="9478" max="9478" width="16.19921875" style="432" bestFit="1" customWidth="1"/>
    <col min="9479" max="9480" width="15.3984375" style="432" bestFit="1" customWidth="1"/>
    <col min="9481" max="9482" width="13.09765625" style="432" customWidth="1"/>
    <col min="9483" max="9484" width="12.8984375" style="432" customWidth="1"/>
    <col min="9485" max="9485" width="14.3984375" style="432" bestFit="1" customWidth="1"/>
    <col min="9486" max="9486" width="5.5" style="432" customWidth="1"/>
    <col min="9487" max="9487" width="14" style="432" customWidth="1"/>
    <col min="9488" max="9488" width="16.19921875" style="432" customWidth="1"/>
    <col min="9489" max="9489" width="16" style="432" customWidth="1"/>
    <col min="9490" max="9490" width="3.09765625" style="432" customWidth="1"/>
    <col min="9491" max="9491" width="13.3984375" style="432" bestFit="1" customWidth="1"/>
    <col min="9492" max="9492" width="13.5" style="432" bestFit="1" customWidth="1"/>
    <col min="9493" max="9493" width="16.8984375" style="432" bestFit="1" customWidth="1"/>
    <col min="9494" max="9494" width="13.59765625" style="432" bestFit="1" customWidth="1"/>
    <col min="9495" max="9495" width="14" style="432" customWidth="1"/>
    <col min="9496" max="9496" width="15.09765625" style="432" customWidth="1"/>
    <col min="9497" max="9497" width="12.5" style="432" customWidth="1"/>
    <col min="9498" max="9498" width="15.8984375" style="432" customWidth="1"/>
    <col min="9499" max="9499" width="14" style="432" customWidth="1"/>
    <col min="9500" max="9501" width="14" style="432" bestFit="1" customWidth="1"/>
    <col min="9502" max="9502" width="15.5" style="432" customWidth="1"/>
    <col min="9503" max="9503" width="14" style="432" bestFit="1" customWidth="1"/>
    <col min="9504" max="9504" width="15.3984375" style="432" bestFit="1" customWidth="1"/>
    <col min="9505" max="9505" width="13.09765625" style="432" bestFit="1" customWidth="1"/>
    <col min="9506" max="9729" width="11.09765625" style="432"/>
    <col min="9730" max="9730" width="3.09765625" style="432" customWidth="1"/>
    <col min="9731" max="9731" width="35.69921875" style="432" customWidth="1"/>
    <col min="9732" max="9732" width="16.19921875" style="432" customWidth="1"/>
    <col min="9733" max="9733" width="18.69921875" style="432" customWidth="1"/>
    <col min="9734" max="9734" width="16.19921875" style="432" bestFit="1" customWidth="1"/>
    <col min="9735" max="9736" width="15.3984375" style="432" bestFit="1" customWidth="1"/>
    <col min="9737" max="9738" width="13.09765625" style="432" customWidth="1"/>
    <col min="9739" max="9740" width="12.8984375" style="432" customWidth="1"/>
    <col min="9741" max="9741" width="14.3984375" style="432" bestFit="1" customWidth="1"/>
    <col min="9742" max="9742" width="5.5" style="432" customWidth="1"/>
    <col min="9743" max="9743" width="14" style="432" customWidth="1"/>
    <col min="9744" max="9744" width="16.19921875" style="432" customWidth="1"/>
    <col min="9745" max="9745" width="16" style="432" customWidth="1"/>
    <col min="9746" max="9746" width="3.09765625" style="432" customWidth="1"/>
    <col min="9747" max="9747" width="13.3984375" style="432" bestFit="1" customWidth="1"/>
    <col min="9748" max="9748" width="13.5" style="432" bestFit="1" customWidth="1"/>
    <col min="9749" max="9749" width="16.8984375" style="432" bestFit="1" customWidth="1"/>
    <col min="9750" max="9750" width="13.59765625" style="432" bestFit="1" customWidth="1"/>
    <col min="9751" max="9751" width="14" style="432" customWidth="1"/>
    <col min="9752" max="9752" width="15.09765625" style="432" customWidth="1"/>
    <col min="9753" max="9753" width="12.5" style="432" customWidth="1"/>
    <col min="9754" max="9754" width="15.8984375" style="432" customWidth="1"/>
    <col min="9755" max="9755" width="14" style="432" customWidth="1"/>
    <col min="9756" max="9757" width="14" style="432" bestFit="1" customWidth="1"/>
    <col min="9758" max="9758" width="15.5" style="432" customWidth="1"/>
    <col min="9759" max="9759" width="14" style="432" bestFit="1" customWidth="1"/>
    <col min="9760" max="9760" width="15.3984375" style="432" bestFit="1" customWidth="1"/>
    <col min="9761" max="9761" width="13.09765625" style="432" bestFit="1" customWidth="1"/>
    <col min="9762" max="9985" width="11.09765625" style="432"/>
    <col min="9986" max="9986" width="3.09765625" style="432" customWidth="1"/>
    <col min="9987" max="9987" width="35.69921875" style="432" customWidth="1"/>
    <col min="9988" max="9988" width="16.19921875" style="432" customWidth="1"/>
    <col min="9989" max="9989" width="18.69921875" style="432" customWidth="1"/>
    <col min="9990" max="9990" width="16.19921875" style="432" bestFit="1" customWidth="1"/>
    <col min="9991" max="9992" width="15.3984375" style="432" bestFit="1" customWidth="1"/>
    <col min="9993" max="9994" width="13.09765625" style="432" customWidth="1"/>
    <col min="9995" max="9996" width="12.8984375" style="432" customWidth="1"/>
    <col min="9997" max="9997" width="14.3984375" style="432" bestFit="1" customWidth="1"/>
    <col min="9998" max="9998" width="5.5" style="432" customWidth="1"/>
    <col min="9999" max="9999" width="14" style="432" customWidth="1"/>
    <col min="10000" max="10000" width="16.19921875" style="432" customWidth="1"/>
    <col min="10001" max="10001" width="16" style="432" customWidth="1"/>
    <col min="10002" max="10002" width="3.09765625" style="432" customWidth="1"/>
    <col min="10003" max="10003" width="13.3984375" style="432" bestFit="1" customWidth="1"/>
    <col min="10004" max="10004" width="13.5" style="432" bestFit="1" customWidth="1"/>
    <col min="10005" max="10005" width="16.8984375" style="432" bestFit="1" customWidth="1"/>
    <col min="10006" max="10006" width="13.59765625" style="432" bestFit="1" customWidth="1"/>
    <col min="10007" max="10007" width="14" style="432" customWidth="1"/>
    <col min="10008" max="10008" width="15.09765625" style="432" customWidth="1"/>
    <col min="10009" max="10009" width="12.5" style="432" customWidth="1"/>
    <col min="10010" max="10010" width="15.8984375" style="432" customWidth="1"/>
    <col min="10011" max="10011" width="14" style="432" customWidth="1"/>
    <col min="10012" max="10013" width="14" style="432" bestFit="1" customWidth="1"/>
    <col min="10014" max="10014" width="15.5" style="432" customWidth="1"/>
    <col min="10015" max="10015" width="14" style="432" bestFit="1" customWidth="1"/>
    <col min="10016" max="10016" width="15.3984375" style="432" bestFit="1" customWidth="1"/>
    <col min="10017" max="10017" width="13.09765625" style="432" bestFit="1" customWidth="1"/>
    <col min="10018" max="10241" width="11.09765625" style="432"/>
    <col min="10242" max="10242" width="3.09765625" style="432" customWidth="1"/>
    <col min="10243" max="10243" width="35.69921875" style="432" customWidth="1"/>
    <col min="10244" max="10244" width="16.19921875" style="432" customWidth="1"/>
    <col min="10245" max="10245" width="18.69921875" style="432" customWidth="1"/>
    <col min="10246" max="10246" width="16.19921875" style="432" bestFit="1" customWidth="1"/>
    <col min="10247" max="10248" width="15.3984375" style="432" bestFit="1" customWidth="1"/>
    <col min="10249" max="10250" width="13.09765625" style="432" customWidth="1"/>
    <col min="10251" max="10252" width="12.8984375" style="432" customWidth="1"/>
    <col min="10253" max="10253" width="14.3984375" style="432" bestFit="1" customWidth="1"/>
    <col min="10254" max="10254" width="5.5" style="432" customWidth="1"/>
    <col min="10255" max="10255" width="14" style="432" customWidth="1"/>
    <col min="10256" max="10256" width="16.19921875" style="432" customWidth="1"/>
    <col min="10257" max="10257" width="16" style="432" customWidth="1"/>
    <col min="10258" max="10258" width="3.09765625" style="432" customWidth="1"/>
    <col min="10259" max="10259" width="13.3984375" style="432" bestFit="1" customWidth="1"/>
    <col min="10260" max="10260" width="13.5" style="432" bestFit="1" customWidth="1"/>
    <col min="10261" max="10261" width="16.8984375" style="432" bestFit="1" customWidth="1"/>
    <col min="10262" max="10262" width="13.59765625" style="432" bestFit="1" customWidth="1"/>
    <col min="10263" max="10263" width="14" style="432" customWidth="1"/>
    <col min="10264" max="10264" width="15.09765625" style="432" customWidth="1"/>
    <col min="10265" max="10265" width="12.5" style="432" customWidth="1"/>
    <col min="10266" max="10266" width="15.8984375" style="432" customWidth="1"/>
    <col min="10267" max="10267" width="14" style="432" customWidth="1"/>
    <col min="10268" max="10269" width="14" style="432" bestFit="1" customWidth="1"/>
    <col min="10270" max="10270" width="15.5" style="432" customWidth="1"/>
    <col min="10271" max="10271" width="14" style="432" bestFit="1" customWidth="1"/>
    <col min="10272" max="10272" width="15.3984375" style="432" bestFit="1" customWidth="1"/>
    <col min="10273" max="10273" width="13.09765625" style="432" bestFit="1" customWidth="1"/>
    <col min="10274" max="10497" width="11.09765625" style="432"/>
    <col min="10498" max="10498" width="3.09765625" style="432" customWidth="1"/>
    <col min="10499" max="10499" width="35.69921875" style="432" customWidth="1"/>
    <col min="10500" max="10500" width="16.19921875" style="432" customWidth="1"/>
    <col min="10501" max="10501" width="18.69921875" style="432" customWidth="1"/>
    <col min="10502" max="10502" width="16.19921875" style="432" bestFit="1" customWidth="1"/>
    <col min="10503" max="10504" width="15.3984375" style="432" bestFit="1" customWidth="1"/>
    <col min="10505" max="10506" width="13.09765625" style="432" customWidth="1"/>
    <col min="10507" max="10508" width="12.8984375" style="432" customWidth="1"/>
    <col min="10509" max="10509" width="14.3984375" style="432" bestFit="1" customWidth="1"/>
    <col min="10510" max="10510" width="5.5" style="432" customWidth="1"/>
    <col min="10511" max="10511" width="14" style="432" customWidth="1"/>
    <col min="10512" max="10512" width="16.19921875" style="432" customWidth="1"/>
    <col min="10513" max="10513" width="16" style="432" customWidth="1"/>
    <col min="10514" max="10514" width="3.09765625" style="432" customWidth="1"/>
    <col min="10515" max="10515" width="13.3984375" style="432" bestFit="1" customWidth="1"/>
    <col min="10516" max="10516" width="13.5" style="432" bestFit="1" customWidth="1"/>
    <col min="10517" max="10517" width="16.8984375" style="432" bestFit="1" customWidth="1"/>
    <col min="10518" max="10518" width="13.59765625" style="432" bestFit="1" customWidth="1"/>
    <col min="10519" max="10519" width="14" style="432" customWidth="1"/>
    <col min="10520" max="10520" width="15.09765625" style="432" customWidth="1"/>
    <col min="10521" max="10521" width="12.5" style="432" customWidth="1"/>
    <col min="10522" max="10522" width="15.8984375" style="432" customWidth="1"/>
    <col min="10523" max="10523" width="14" style="432" customWidth="1"/>
    <col min="10524" max="10525" width="14" style="432" bestFit="1" customWidth="1"/>
    <col min="10526" max="10526" width="15.5" style="432" customWidth="1"/>
    <col min="10527" max="10527" width="14" style="432" bestFit="1" customWidth="1"/>
    <col min="10528" max="10528" width="15.3984375" style="432" bestFit="1" customWidth="1"/>
    <col min="10529" max="10529" width="13.09765625" style="432" bestFit="1" customWidth="1"/>
    <col min="10530" max="10753" width="11.09765625" style="432"/>
    <col min="10754" max="10754" width="3.09765625" style="432" customWidth="1"/>
    <col min="10755" max="10755" width="35.69921875" style="432" customWidth="1"/>
    <col min="10756" max="10756" width="16.19921875" style="432" customWidth="1"/>
    <col min="10757" max="10757" width="18.69921875" style="432" customWidth="1"/>
    <col min="10758" max="10758" width="16.19921875" style="432" bestFit="1" customWidth="1"/>
    <col min="10759" max="10760" width="15.3984375" style="432" bestFit="1" customWidth="1"/>
    <col min="10761" max="10762" width="13.09765625" style="432" customWidth="1"/>
    <col min="10763" max="10764" width="12.8984375" style="432" customWidth="1"/>
    <col min="10765" max="10765" width="14.3984375" style="432" bestFit="1" customWidth="1"/>
    <col min="10766" max="10766" width="5.5" style="432" customWidth="1"/>
    <col min="10767" max="10767" width="14" style="432" customWidth="1"/>
    <col min="10768" max="10768" width="16.19921875" style="432" customWidth="1"/>
    <col min="10769" max="10769" width="16" style="432" customWidth="1"/>
    <col min="10770" max="10770" width="3.09765625" style="432" customWidth="1"/>
    <col min="10771" max="10771" width="13.3984375" style="432" bestFit="1" customWidth="1"/>
    <col min="10772" max="10772" width="13.5" style="432" bestFit="1" customWidth="1"/>
    <col min="10773" max="10773" width="16.8984375" style="432" bestFit="1" customWidth="1"/>
    <col min="10774" max="10774" width="13.59765625" style="432" bestFit="1" customWidth="1"/>
    <col min="10775" max="10775" width="14" style="432" customWidth="1"/>
    <col min="10776" max="10776" width="15.09765625" style="432" customWidth="1"/>
    <col min="10777" max="10777" width="12.5" style="432" customWidth="1"/>
    <col min="10778" max="10778" width="15.8984375" style="432" customWidth="1"/>
    <col min="10779" max="10779" width="14" style="432" customWidth="1"/>
    <col min="10780" max="10781" width="14" style="432" bestFit="1" customWidth="1"/>
    <col min="10782" max="10782" width="15.5" style="432" customWidth="1"/>
    <col min="10783" max="10783" width="14" style="432" bestFit="1" customWidth="1"/>
    <col min="10784" max="10784" width="15.3984375" style="432" bestFit="1" customWidth="1"/>
    <col min="10785" max="10785" width="13.09765625" style="432" bestFit="1" customWidth="1"/>
    <col min="10786" max="11009" width="11.09765625" style="432"/>
    <col min="11010" max="11010" width="3.09765625" style="432" customWidth="1"/>
    <col min="11011" max="11011" width="35.69921875" style="432" customWidth="1"/>
    <col min="11012" max="11012" width="16.19921875" style="432" customWidth="1"/>
    <col min="11013" max="11013" width="18.69921875" style="432" customWidth="1"/>
    <col min="11014" max="11014" width="16.19921875" style="432" bestFit="1" customWidth="1"/>
    <col min="11015" max="11016" width="15.3984375" style="432" bestFit="1" customWidth="1"/>
    <col min="11017" max="11018" width="13.09765625" style="432" customWidth="1"/>
    <col min="11019" max="11020" width="12.8984375" style="432" customWidth="1"/>
    <col min="11021" max="11021" width="14.3984375" style="432" bestFit="1" customWidth="1"/>
    <col min="11022" max="11022" width="5.5" style="432" customWidth="1"/>
    <col min="11023" max="11023" width="14" style="432" customWidth="1"/>
    <col min="11024" max="11024" width="16.19921875" style="432" customWidth="1"/>
    <col min="11025" max="11025" width="16" style="432" customWidth="1"/>
    <col min="11026" max="11026" width="3.09765625" style="432" customWidth="1"/>
    <col min="11027" max="11027" width="13.3984375" style="432" bestFit="1" customWidth="1"/>
    <col min="11028" max="11028" width="13.5" style="432" bestFit="1" customWidth="1"/>
    <col min="11029" max="11029" width="16.8984375" style="432" bestFit="1" customWidth="1"/>
    <col min="11030" max="11030" width="13.59765625" style="432" bestFit="1" customWidth="1"/>
    <col min="11031" max="11031" width="14" style="432" customWidth="1"/>
    <col min="11032" max="11032" width="15.09765625" style="432" customWidth="1"/>
    <col min="11033" max="11033" width="12.5" style="432" customWidth="1"/>
    <col min="11034" max="11034" width="15.8984375" style="432" customWidth="1"/>
    <col min="11035" max="11035" width="14" style="432" customWidth="1"/>
    <col min="11036" max="11037" width="14" style="432" bestFit="1" customWidth="1"/>
    <col min="11038" max="11038" width="15.5" style="432" customWidth="1"/>
    <col min="11039" max="11039" width="14" style="432" bestFit="1" customWidth="1"/>
    <col min="11040" max="11040" width="15.3984375" style="432" bestFit="1" customWidth="1"/>
    <col min="11041" max="11041" width="13.09765625" style="432" bestFit="1" customWidth="1"/>
    <col min="11042" max="11265" width="11.09765625" style="432"/>
    <col min="11266" max="11266" width="3.09765625" style="432" customWidth="1"/>
    <col min="11267" max="11267" width="35.69921875" style="432" customWidth="1"/>
    <col min="11268" max="11268" width="16.19921875" style="432" customWidth="1"/>
    <col min="11269" max="11269" width="18.69921875" style="432" customWidth="1"/>
    <col min="11270" max="11270" width="16.19921875" style="432" bestFit="1" customWidth="1"/>
    <col min="11271" max="11272" width="15.3984375" style="432" bestFit="1" customWidth="1"/>
    <col min="11273" max="11274" width="13.09765625" style="432" customWidth="1"/>
    <col min="11275" max="11276" width="12.8984375" style="432" customWidth="1"/>
    <col min="11277" max="11277" width="14.3984375" style="432" bestFit="1" customWidth="1"/>
    <col min="11278" max="11278" width="5.5" style="432" customWidth="1"/>
    <col min="11279" max="11279" width="14" style="432" customWidth="1"/>
    <col min="11280" max="11280" width="16.19921875" style="432" customWidth="1"/>
    <col min="11281" max="11281" width="16" style="432" customWidth="1"/>
    <col min="11282" max="11282" width="3.09765625" style="432" customWidth="1"/>
    <col min="11283" max="11283" width="13.3984375" style="432" bestFit="1" customWidth="1"/>
    <col min="11284" max="11284" width="13.5" style="432" bestFit="1" customWidth="1"/>
    <col min="11285" max="11285" width="16.8984375" style="432" bestFit="1" customWidth="1"/>
    <col min="11286" max="11286" width="13.59765625" style="432" bestFit="1" customWidth="1"/>
    <col min="11287" max="11287" width="14" style="432" customWidth="1"/>
    <col min="11288" max="11288" width="15.09765625" style="432" customWidth="1"/>
    <col min="11289" max="11289" width="12.5" style="432" customWidth="1"/>
    <col min="11290" max="11290" width="15.8984375" style="432" customWidth="1"/>
    <col min="11291" max="11291" width="14" style="432" customWidth="1"/>
    <col min="11292" max="11293" width="14" style="432" bestFit="1" customWidth="1"/>
    <col min="11294" max="11294" width="15.5" style="432" customWidth="1"/>
    <col min="11295" max="11295" width="14" style="432" bestFit="1" customWidth="1"/>
    <col min="11296" max="11296" width="15.3984375" style="432" bestFit="1" customWidth="1"/>
    <col min="11297" max="11297" width="13.09765625" style="432" bestFit="1" customWidth="1"/>
    <col min="11298" max="11521" width="11.09765625" style="432"/>
    <col min="11522" max="11522" width="3.09765625" style="432" customWidth="1"/>
    <col min="11523" max="11523" width="35.69921875" style="432" customWidth="1"/>
    <col min="11524" max="11524" width="16.19921875" style="432" customWidth="1"/>
    <col min="11525" max="11525" width="18.69921875" style="432" customWidth="1"/>
    <col min="11526" max="11526" width="16.19921875" style="432" bestFit="1" customWidth="1"/>
    <col min="11527" max="11528" width="15.3984375" style="432" bestFit="1" customWidth="1"/>
    <col min="11529" max="11530" width="13.09765625" style="432" customWidth="1"/>
    <col min="11531" max="11532" width="12.8984375" style="432" customWidth="1"/>
    <col min="11533" max="11533" width="14.3984375" style="432" bestFit="1" customWidth="1"/>
    <col min="11534" max="11534" width="5.5" style="432" customWidth="1"/>
    <col min="11535" max="11535" width="14" style="432" customWidth="1"/>
    <col min="11536" max="11536" width="16.19921875" style="432" customWidth="1"/>
    <col min="11537" max="11537" width="16" style="432" customWidth="1"/>
    <col min="11538" max="11538" width="3.09765625" style="432" customWidth="1"/>
    <col min="11539" max="11539" width="13.3984375" style="432" bestFit="1" customWidth="1"/>
    <col min="11540" max="11540" width="13.5" style="432" bestFit="1" customWidth="1"/>
    <col min="11541" max="11541" width="16.8984375" style="432" bestFit="1" customWidth="1"/>
    <col min="11542" max="11542" width="13.59765625" style="432" bestFit="1" customWidth="1"/>
    <col min="11543" max="11543" width="14" style="432" customWidth="1"/>
    <col min="11544" max="11544" width="15.09765625" style="432" customWidth="1"/>
    <col min="11545" max="11545" width="12.5" style="432" customWidth="1"/>
    <col min="11546" max="11546" width="15.8984375" style="432" customWidth="1"/>
    <col min="11547" max="11547" width="14" style="432" customWidth="1"/>
    <col min="11548" max="11549" width="14" style="432" bestFit="1" customWidth="1"/>
    <col min="11550" max="11550" width="15.5" style="432" customWidth="1"/>
    <col min="11551" max="11551" width="14" style="432" bestFit="1" customWidth="1"/>
    <col min="11552" max="11552" width="15.3984375" style="432" bestFit="1" customWidth="1"/>
    <col min="11553" max="11553" width="13.09765625" style="432" bestFit="1" customWidth="1"/>
    <col min="11554" max="11777" width="11.09765625" style="432"/>
    <col min="11778" max="11778" width="3.09765625" style="432" customWidth="1"/>
    <col min="11779" max="11779" width="35.69921875" style="432" customWidth="1"/>
    <col min="11780" max="11780" width="16.19921875" style="432" customWidth="1"/>
    <col min="11781" max="11781" width="18.69921875" style="432" customWidth="1"/>
    <col min="11782" max="11782" width="16.19921875" style="432" bestFit="1" customWidth="1"/>
    <col min="11783" max="11784" width="15.3984375" style="432" bestFit="1" customWidth="1"/>
    <col min="11785" max="11786" width="13.09765625" style="432" customWidth="1"/>
    <col min="11787" max="11788" width="12.8984375" style="432" customWidth="1"/>
    <col min="11789" max="11789" width="14.3984375" style="432" bestFit="1" customWidth="1"/>
    <col min="11790" max="11790" width="5.5" style="432" customWidth="1"/>
    <col min="11791" max="11791" width="14" style="432" customWidth="1"/>
    <col min="11792" max="11792" width="16.19921875" style="432" customWidth="1"/>
    <col min="11793" max="11793" width="16" style="432" customWidth="1"/>
    <col min="11794" max="11794" width="3.09765625" style="432" customWidth="1"/>
    <col min="11795" max="11795" width="13.3984375" style="432" bestFit="1" customWidth="1"/>
    <col min="11796" max="11796" width="13.5" style="432" bestFit="1" customWidth="1"/>
    <col min="11797" max="11797" width="16.8984375" style="432" bestFit="1" customWidth="1"/>
    <col min="11798" max="11798" width="13.59765625" style="432" bestFit="1" customWidth="1"/>
    <col min="11799" max="11799" width="14" style="432" customWidth="1"/>
    <col min="11800" max="11800" width="15.09765625" style="432" customWidth="1"/>
    <col min="11801" max="11801" width="12.5" style="432" customWidth="1"/>
    <col min="11802" max="11802" width="15.8984375" style="432" customWidth="1"/>
    <col min="11803" max="11803" width="14" style="432" customWidth="1"/>
    <col min="11804" max="11805" width="14" style="432" bestFit="1" customWidth="1"/>
    <col min="11806" max="11806" width="15.5" style="432" customWidth="1"/>
    <col min="11807" max="11807" width="14" style="432" bestFit="1" customWidth="1"/>
    <col min="11808" max="11808" width="15.3984375" style="432" bestFit="1" customWidth="1"/>
    <col min="11809" max="11809" width="13.09765625" style="432" bestFit="1" customWidth="1"/>
    <col min="11810" max="12033" width="11.09765625" style="432"/>
    <col min="12034" max="12034" width="3.09765625" style="432" customWidth="1"/>
    <col min="12035" max="12035" width="35.69921875" style="432" customWidth="1"/>
    <col min="12036" max="12036" width="16.19921875" style="432" customWidth="1"/>
    <col min="12037" max="12037" width="18.69921875" style="432" customWidth="1"/>
    <col min="12038" max="12038" width="16.19921875" style="432" bestFit="1" customWidth="1"/>
    <col min="12039" max="12040" width="15.3984375" style="432" bestFit="1" customWidth="1"/>
    <col min="12041" max="12042" width="13.09765625" style="432" customWidth="1"/>
    <col min="12043" max="12044" width="12.8984375" style="432" customWidth="1"/>
    <col min="12045" max="12045" width="14.3984375" style="432" bestFit="1" customWidth="1"/>
    <col min="12046" max="12046" width="5.5" style="432" customWidth="1"/>
    <col min="12047" max="12047" width="14" style="432" customWidth="1"/>
    <col min="12048" max="12048" width="16.19921875" style="432" customWidth="1"/>
    <col min="12049" max="12049" width="16" style="432" customWidth="1"/>
    <col min="12050" max="12050" width="3.09765625" style="432" customWidth="1"/>
    <col min="12051" max="12051" width="13.3984375" style="432" bestFit="1" customWidth="1"/>
    <col min="12052" max="12052" width="13.5" style="432" bestFit="1" customWidth="1"/>
    <col min="12053" max="12053" width="16.8984375" style="432" bestFit="1" customWidth="1"/>
    <col min="12054" max="12054" width="13.59765625" style="432" bestFit="1" customWidth="1"/>
    <col min="12055" max="12055" width="14" style="432" customWidth="1"/>
    <col min="12056" max="12056" width="15.09765625" style="432" customWidth="1"/>
    <col min="12057" max="12057" width="12.5" style="432" customWidth="1"/>
    <col min="12058" max="12058" width="15.8984375" style="432" customWidth="1"/>
    <col min="12059" max="12059" width="14" style="432" customWidth="1"/>
    <col min="12060" max="12061" width="14" style="432" bestFit="1" customWidth="1"/>
    <col min="12062" max="12062" width="15.5" style="432" customWidth="1"/>
    <col min="12063" max="12063" width="14" style="432" bestFit="1" customWidth="1"/>
    <col min="12064" max="12064" width="15.3984375" style="432" bestFit="1" customWidth="1"/>
    <col min="12065" max="12065" width="13.09765625" style="432" bestFit="1" customWidth="1"/>
    <col min="12066" max="12289" width="11.09765625" style="432"/>
    <col min="12290" max="12290" width="3.09765625" style="432" customWidth="1"/>
    <col min="12291" max="12291" width="35.69921875" style="432" customWidth="1"/>
    <col min="12292" max="12292" width="16.19921875" style="432" customWidth="1"/>
    <col min="12293" max="12293" width="18.69921875" style="432" customWidth="1"/>
    <col min="12294" max="12294" width="16.19921875" style="432" bestFit="1" customWidth="1"/>
    <col min="12295" max="12296" width="15.3984375" style="432" bestFit="1" customWidth="1"/>
    <col min="12297" max="12298" width="13.09765625" style="432" customWidth="1"/>
    <col min="12299" max="12300" width="12.8984375" style="432" customWidth="1"/>
    <col min="12301" max="12301" width="14.3984375" style="432" bestFit="1" customWidth="1"/>
    <col min="12302" max="12302" width="5.5" style="432" customWidth="1"/>
    <col min="12303" max="12303" width="14" style="432" customWidth="1"/>
    <col min="12304" max="12304" width="16.19921875" style="432" customWidth="1"/>
    <col min="12305" max="12305" width="16" style="432" customWidth="1"/>
    <col min="12306" max="12306" width="3.09765625" style="432" customWidth="1"/>
    <col min="12307" max="12307" width="13.3984375" style="432" bestFit="1" customWidth="1"/>
    <col min="12308" max="12308" width="13.5" style="432" bestFit="1" customWidth="1"/>
    <col min="12309" max="12309" width="16.8984375" style="432" bestFit="1" customWidth="1"/>
    <col min="12310" max="12310" width="13.59765625" style="432" bestFit="1" customWidth="1"/>
    <col min="12311" max="12311" width="14" style="432" customWidth="1"/>
    <col min="12312" max="12312" width="15.09765625" style="432" customWidth="1"/>
    <col min="12313" max="12313" width="12.5" style="432" customWidth="1"/>
    <col min="12314" max="12314" width="15.8984375" style="432" customWidth="1"/>
    <col min="12315" max="12315" width="14" style="432" customWidth="1"/>
    <col min="12316" max="12317" width="14" style="432" bestFit="1" customWidth="1"/>
    <col min="12318" max="12318" width="15.5" style="432" customWidth="1"/>
    <col min="12319" max="12319" width="14" style="432" bestFit="1" customWidth="1"/>
    <col min="12320" max="12320" width="15.3984375" style="432" bestFit="1" customWidth="1"/>
    <col min="12321" max="12321" width="13.09765625" style="432" bestFit="1" customWidth="1"/>
    <col min="12322" max="12545" width="11.09765625" style="432"/>
    <col min="12546" max="12546" width="3.09765625" style="432" customWidth="1"/>
    <col min="12547" max="12547" width="35.69921875" style="432" customWidth="1"/>
    <col min="12548" max="12548" width="16.19921875" style="432" customWidth="1"/>
    <col min="12549" max="12549" width="18.69921875" style="432" customWidth="1"/>
    <col min="12550" max="12550" width="16.19921875" style="432" bestFit="1" customWidth="1"/>
    <col min="12551" max="12552" width="15.3984375" style="432" bestFit="1" customWidth="1"/>
    <col min="12553" max="12554" width="13.09765625" style="432" customWidth="1"/>
    <col min="12555" max="12556" width="12.8984375" style="432" customWidth="1"/>
    <col min="12557" max="12557" width="14.3984375" style="432" bestFit="1" customWidth="1"/>
    <col min="12558" max="12558" width="5.5" style="432" customWidth="1"/>
    <col min="12559" max="12559" width="14" style="432" customWidth="1"/>
    <col min="12560" max="12560" width="16.19921875" style="432" customWidth="1"/>
    <col min="12561" max="12561" width="16" style="432" customWidth="1"/>
    <col min="12562" max="12562" width="3.09765625" style="432" customWidth="1"/>
    <col min="12563" max="12563" width="13.3984375" style="432" bestFit="1" customWidth="1"/>
    <col min="12564" max="12564" width="13.5" style="432" bestFit="1" customWidth="1"/>
    <col min="12565" max="12565" width="16.8984375" style="432" bestFit="1" customWidth="1"/>
    <col min="12566" max="12566" width="13.59765625" style="432" bestFit="1" customWidth="1"/>
    <col min="12567" max="12567" width="14" style="432" customWidth="1"/>
    <col min="12568" max="12568" width="15.09765625" style="432" customWidth="1"/>
    <col min="12569" max="12569" width="12.5" style="432" customWidth="1"/>
    <col min="12570" max="12570" width="15.8984375" style="432" customWidth="1"/>
    <col min="12571" max="12571" width="14" style="432" customWidth="1"/>
    <col min="12572" max="12573" width="14" style="432" bestFit="1" customWidth="1"/>
    <col min="12574" max="12574" width="15.5" style="432" customWidth="1"/>
    <col min="12575" max="12575" width="14" style="432" bestFit="1" customWidth="1"/>
    <col min="12576" max="12576" width="15.3984375" style="432" bestFit="1" customWidth="1"/>
    <col min="12577" max="12577" width="13.09765625" style="432" bestFit="1" customWidth="1"/>
    <col min="12578" max="12801" width="11.09765625" style="432"/>
    <col min="12802" max="12802" width="3.09765625" style="432" customWidth="1"/>
    <col min="12803" max="12803" width="35.69921875" style="432" customWidth="1"/>
    <col min="12804" max="12804" width="16.19921875" style="432" customWidth="1"/>
    <col min="12805" max="12805" width="18.69921875" style="432" customWidth="1"/>
    <col min="12806" max="12806" width="16.19921875" style="432" bestFit="1" customWidth="1"/>
    <col min="12807" max="12808" width="15.3984375" style="432" bestFit="1" customWidth="1"/>
    <col min="12809" max="12810" width="13.09765625" style="432" customWidth="1"/>
    <col min="12811" max="12812" width="12.8984375" style="432" customWidth="1"/>
    <col min="12813" max="12813" width="14.3984375" style="432" bestFit="1" customWidth="1"/>
    <col min="12814" max="12814" width="5.5" style="432" customWidth="1"/>
    <col min="12815" max="12815" width="14" style="432" customWidth="1"/>
    <col min="12816" max="12816" width="16.19921875" style="432" customWidth="1"/>
    <col min="12817" max="12817" width="16" style="432" customWidth="1"/>
    <col min="12818" max="12818" width="3.09765625" style="432" customWidth="1"/>
    <col min="12819" max="12819" width="13.3984375" style="432" bestFit="1" customWidth="1"/>
    <col min="12820" max="12820" width="13.5" style="432" bestFit="1" customWidth="1"/>
    <col min="12821" max="12821" width="16.8984375" style="432" bestFit="1" customWidth="1"/>
    <col min="12822" max="12822" width="13.59765625" style="432" bestFit="1" customWidth="1"/>
    <col min="12823" max="12823" width="14" style="432" customWidth="1"/>
    <col min="12824" max="12824" width="15.09765625" style="432" customWidth="1"/>
    <col min="12825" max="12825" width="12.5" style="432" customWidth="1"/>
    <col min="12826" max="12826" width="15.8984375" style="432" customWidth="1"/>
    <col min="12827" max="12827" width="14" style="432" customWidth="1"/>
    <col min="12828" max="12829" width="14" style="432" bestFit="1" customWidth="1"/>
    <col min="12830" max="12830" width="15.5" style="432" customWidth="1"/>
    <col min="12831" max="12831" width="14" style="432" bestFit="1" customWidth="1"/>
    <col min="12832" max="12832" width="15.3984375" style="432" bestFit="1" customWidth="1"/>
    <col min="12833" max="12833" width="13.09765625" style="432" bestFit="1" customWidth="1"/>
    <col min="12834" max="13057" width="11.09765625" style="432"/>
    <col min="13058" max="13058" width="3.09765625" style="432" customWidth="1"/>
    <col min="13059" max="13059" width="35.69921875" style="432" customWidth="1"/>
    <col min="13060" max="13060" width="16.19921875" style="432" customWidth="1"/>
    <col min="13061" max="13061" width="18.69921875" style="432" customWidth="1"/>
    <col min="13062" max="13062" width="16.19921875" style="432" bestFit="1" customWidth="1"/>
    <col min="13063" max="13064" width="15.3984375" style="432" bestFit="1" customWidth="1"/>
    <col min="13065" max="13066" width="13.09765625" style="432" customWidth="1"/>
    <col min="13067" max="13068" width="12.8984375" style="432" customWidth="1"/>
    <col min="13069" max="13069" width="14.3984375" style="432" bestFit="1" customWidth="1"/>
    <col min="13070" max="13070" width="5.5" style="432" customWidth="1"/>
    <col min="13071" max="13071" width="14" style="432" customWidth="1"/>
    <col min="13072" max="13072" width="16.19921875" style="432" customWidth="1"/>
    <col min="13073" max="13073" width="16" style="432" customWidth="1"/>
    <col min="13074" max="13074" width="3.09765625" style="432" customWidth="1"/>
    <col min="13075" max="13075" width="13.3984375" style="432" bestFit="1" customWidth="1"/>
    <col min="13076" max="13076" width="13.5" style="432" bestFit="1" customWidth="1"/>
    <col min="13077" max="13077" width="16.8984375" style="432" bestFit="1" customWidth="1"/>
    <col min="13078" max="13078" width="13.59765625" style="432" bestFit="1" customWidth="1"/>
    <col min="13079" max="13079" width="14" style="432" customWidth="1"/>
    <col min="13080" max="13080" width="15.09765625" style="432" customWidth="1"/>
    <col min="13081" max="13081" width="12.5" style="432" customWidth="1"/>
    <col min="13082" max="13082" width="15.8984375" style="432" customWidth="1"/>
    <col min="13083" max="13083" width="14" style="432" customWidth="1"/>
    <col min="13084" max="13085" width="14" style="432" bestFit="1" customWidth="1"/>
    <col min="13086" max="13086" width="15.5" style="432" customWidth="1"/>
    <col min="13087" max="13087" width="14" style="432" bestFit="1" customWidth="1"/>
    <col min="13088" max="13088" width="15.3984375" style="432" bestFit="1" customWidth="1"/>
    <col min="13089" max="13089" width="13.09765625" style="432" bestFit="1" customWidth="1"/>
    <col min="13090" max="13313" width="11.09765625" style="432"/>
    <col min="13314" max="13314" width="3.09765625" style="432" customWidth="1"/>
    <col min="13315" max="13315" width="35.69921875" style="432" customWidth="1"/>
    <col min="13316" max="13316" width="16.19921875" style="432" customWidth="1"/>
    <col min="13317" max="13317" width="18.69921875" style="432" customWidth="1"/>
    <col min="13318" max="13318" width="16.19921875" style="432" bestFit="1" customWidth="1"/>
    <col min="13319" max="13320" width="15.3984375" style="432" bestFit="1" customWidth="1"/>
    <col min="13321" max="13322" width="13.09765625" style="432" customWidth="1"/>
    <col min="13323" max="13324" width="12.8984375" style="432" customWidth="1"/>
    <col min="13325" max="13325" width="14.3984375" style="432" bestFit="1" customWidth="1"/>
    <col min="13326" max="13326" width="5.5" style="432" customWidth="1"/>
    <col min="13327" max="13327" width="14" style="432" customWidth="1"/>
    <col min="13328" max="13328" width="16.19921875" style="432" customWidth="1"/>
    <col min="13329" max="13329" width="16" style="432" customWidth="1"/>
    <col min="13330" max="13330" width="3.09765625" style="432" customWidth="1"/>
    <col min="13331" max="13331" width="13.3984375" style="432" bestFit="1" customWidth="1"/>
    <col min="13332" max="13332" width="13.5" style="432" bestFit="1" customWidth="1"/>
    <col min="13333" max="13333" width="16.8984375" style="432" bestFit="1" customWidth="1"/>
    <col min="13334" max="13334" width="13.59765625" style="432" bestFit="1" customWidth="1"/>
    <col min="13335" max="13335" width="14" style="432" customWidth="1"/>
    <col min="13336" max="13336" width="15.09765625" style="432" customWidth="1"/>
    <col min="13337" max="13337" width="12.5" style="432" customWidth="1"/>
    <col min="13338" max="13338" width="15.8984375" style="432" customWidth="1"/>
    <col min="13339" max="13339" width="14" style="432" customWidth="1"/>
    <col min="13340" max="13341" width="14" style="432" bestFit="1" customWidth="1"/>
    <col min="13342" max="13342" width="15.5" style="432" customWidth="1"/>
    <col min="13343" max="13343" width="14" style="432" bestFit="1" customWidth="1"/>
    <col min="13344" max="13344" width="15.3984375" style="432" bestFit="1" customWidth="1"/>
    <col min="13345" max="13345" width="13.09765625" style="432" bestFit="1" customWidth="1"/>
    <col min="13346" max="13569" width="11.09765625" style="432"/>
    <col min="13570" max="13570" width="3.09765625" style="432" customWidth="1"/>
    <col min="13571" max="13571" width="35.69921875" style="432" customWidth="1"/>
    <col min="13572" max="13572" width="16.19921875" style="432" customWidth="1"/>
    <col min="13573" max="13573" width="18.69921875" style="432" customWidth="1"/>
    <col min="13574" max="13574" width="16.19921875" style="432" bestFit="1" customWidth="1"/>
    <col min="13575" max="13576" width="15.3984375" style="432" bestFit="1" customWidth="1"/>
    <col min="13577" max="13578" width="13.09765625" style="432" customWidth="1"/>
    <col min="13579" max="13580" width="12.8984375" style="432" customWidth="1"/>
    <col min="13581" max="13581" width="14.3984375" style="432" bestFit="1" customWidth="1"/>
    <col min="13582" max="13582" width="5.5" style="432" customWidth="1"/>
    <col min="13583" max="13583" width="14" style="432" customWidth="1"/>
    <col min="13584" max="13584" width="16.19921875" style="432" customWidth="1"/>
    <col min="13585" max="13585" width="16" style="432" customWidth="1"/>
    <col min="13586" max="13586" width="3.09765625" style="432" customWidth="1"/>
    <col min="13587" max="13587" width="13.3984375" style="432" bestFit="1" customWidth="1"/>
    <col min="13588" max="13588" width="13.5" style="432" bestFit="1" customWidth="1"/>
    <col min="13589" max="13589" width="16.8984375" style="432" bestFit="1" customWidth="1"/>
    <col min="13590" max="13590" width="13.59765625" style="432" bestFit="1" customWidth="1"/>
    <col min="13591" max="13591" width="14" style="432" customWidth="1"/>
    <col min="13592" max="13592" width="15.09765625" style="432" customWidth="1"/>
    <col min="13593" max="13593" width="12.5" style="432" customWidth="1"/>
    <col min="13594" max="13594" width="15.8984375" style="432" customWidth="1"/>
    <col min="13595" max="13595" width="14" style="432" customWidth="1"/>
    <col min="13596" max="13597" width="14" style="432" bestFit="1" customWidth="1"/>
    <col min="13598" max="13598" width="15.5" style="432" customWidth="1"/>
    <col min="13599" max="13599" width="14" style="432" bestFit="1" customWidth="1"/>
    <col min="13600" max="13600" width="15.3984375" style="432" bestFit="1" customWidth="1"/>
    <col min="13601" max="13601" width="13.09765625" style="432" bestFit="1" customWidth="1"/>
    <col min="13602" max="13825" width="11.09765625" style="432"/>
    <col min="13826" max="13826" width="3.09765625" style="432" customWidth="1"/>
    <col min="13827" max="13827" width="35.69921875" style="432" customWidth="1"/>
    <col min="13828" max="13828" width="16.19921875" style="432" customWidth="1"/>
    <col min="13829" max="13829" width="18.69921875" style="432" customWidth="1"/>
    <col min="13830" max="13830" width="16.19921875" style="432" bestFit="1" customWidth="1"/>
    <col min="13831" max="13832" width="15.3984375" style="432" bestFit="1" customWidth="1"/>
    <col min="13833" max="13834" width="13.09765625" style="432" customWidth="1"/>
    <col min="13835" max="13836" width="12.8984375" style="432" customWidth="1"/>
    <col min="13837" max="13837" width="14.3984375" style="432" bestFit="1" customWidth="1"/>
    <col min="13838" max="13838" width="5.5" style="432" customWidth="1"/>
    <col min="13839" max="13839" width="14" style="432" customWidth="1"/>
    <col min="13840" max="13840" width="16.19921875" style="432" customWidth="1"/>
    <col min="13841" max="13841" width="16" style="432" customWidth="1"/>
    <col min="13842" max="13842" width="3.09765625" style="432" customWidth="1"/>
    <col min="13843" max="13843" width="13.3984375" style="432" bestFit="1" customWidth="1"/>
    <col min="13844" max="13844" width="13.5" style="432" bestFit="1" customWidth="1"/>
    <col min="13845" max="13845" width="16.8984375" style="432" bestFit="1" customWidth="1"/>
    <col min="13846" max="13846" width="13.59765625" style="432" bestFit="1" customWidth="1"/>
    <col min="13847" max="13847" width="14" style="432" customWidth="1"/>
    <col min="13848" max="13848" width="15.09765625" style="432" customWidth="1"/>
    <col min="13849" max="13849" width="12.5" style="432" customWidth="1"/>
    <col min="13850" max="13850" width="15.8984375" style="432" customWidth="1"/>
    <col min="13851" max="13851" width="14" style="432" customWidth="1"/>
    <col min="13852" max="13853" width="14" style="432" bestFit="1" customWidth="1"/>
    <col min="13854" max="13854" width="15.5" style="432" customWidth="1"/>
    <col min="13855" max="13855" width="14" style="432" bestFit="1" customWidth="1"/>
    <col min="13856" max="13856" width="15.3984375" style="432" bestFit="1" customWidth="1"/>
    <col min="13857" max="13857" width="13.09765625" style="432" bestFit="1" customWidth="1"/>
    <col min="13858" max="14081" width="11.09765625" style="432"/>
    <col min="14082" max="14082" width="3.09765625" style="432" customWidth="1"/>
    <col min="14083" max="14083" width="35.69921875" style="432" customWidth="1"/>
    <col min="14084" max="14084" width="16.19921875" style="432" customWidth="1"/>
    <col min="14085" max="14085" width="18.69921875" style="432" customWidth="1"/>
    <col min="14086" max="14086" width="16.19921875" style="432" bestFit="1" customWidth="1"/>
    <col min="14087" max="14088" width="15.3984375" style="432" bestFit="1" customWidth="1"/>
    <col min="14089" max="14090" width="13.09765625" style="432" customWidth="1"/>
    <col min="14091" max="14092" width="12.8984375" style="432" customWidth="1"/>
    <col min="14093" max="14093" width="14.3984375" style="432" bestFit="1" customWidth="1"/>
    <col min="14094" max="14094" width="5.5" style="432" customWidth="1"/>
    <col min="14095" max="14095" width="14" style="432" customWidth="1"/>
    <col min="14096" max="14096" width="16.19921875" style="432" customWidth="1"/>
    <col min="14097" max="14097" width="16" style="432" customWidth="1"/>
    <col min="14098" max="14098" width="3.09765625" style="432" customWidth="1"/>
    <col min="14099" max="14099" width="13.3984375" style="432" bestFit="1" customWidth="1"/>
    <col min="14100" max="14100" width="13.5" style="432" bestFit="1" customWidth="1"/>
    <col min="14101" max="14101" width="16.8984375" style="432" bestFit="1" customWidth="1"/>
    <col min="14102" max="14102" width="13.59765625" style="432" bestFit="1" customWidth="1"/>
    <col min="14103" max="14103" width="14" style="432" customWidth="1"/>
    <col min="14104" max="14104" width="15.09765625" style="432" customWidth="1"/>
    <col min="14105" max="14105" width="12.5" style="432" customWidth="1"/>
    <col min="14106" max="14106" width="15.8984375" style="432" customWidth="1"/>
    <col min="14107" max="14107" width="14" style="432" customWidth="1"/>
    <col min="14108" max="14109" width="14" style="432" bestFit="1" customWidth="1"/>
    <col min="14110" max="14110" width="15.5" style="432" customWidth="1"/>
    <col min="14111" max="14111" width="14" style="432" bestFit="1" customWidth="1"/>
    <col min="14112" max="14112" width="15.3984375" style="432" bestFit="1" customWidth="1"/>
    <col min="14113" max="14113" width="13.09765625" style="432" bestFit="1" customWidth="1"/>
    <col min="14114" max="14337" width="11.09765625" style="432"/>
    <col min="14338" max="14338" width="3.09765625" style="432" customWidth="1"/>
    <col min="14339" max="14339" width="35.69921875" style="432" customWidth="1"/>
    <col min="14340" max="14340" width="16.19921875" style="432" customWidth="1"/>
    <col min="14341" max="14341" width="18.69921875" style="432" customWidth="1"/>
    <col min="14342" max="14342" width="16.19921875" style="432" bestFit="1" customWidth="1"/>
    <col min="14343" max="14344" width="15.3984375" style="432" bestFit="1" customWidth="1"/>
    <col min="14345" max="14346" width="13.09765625" style="432" customWidth="1"/>
    <col min="14347" max="14348" width="12.8984375" style="432" customWidth="1"/>
    <col min="14349" max="14349" width="14.3984375" style="432" bestFit="1" customWidth="1"/>
    <col min="14350" max="14350" width="5.5" style="432" customWidth="1"/>
    <col min="14351" max="14351" width="14" style="432" customWidth="1"/>
    <col min="14352" max="14352" width="16.19921875" style="432" customWidth="1"/>
    <col min="14353" max="14353" width="16" style="432" customWidth="1"/>
    <col min="14354" max="14354" width="3.09765625" style="432" customWidth="1"/>
    <col min="14355" max="14355" width="13.3984375" style="432" bestFit="1" customWidth="1"/>
    <col min="14356" max="14356" width="13.5" style="432" bestFit="1" customWidth="1"/>
    <col min="14357" max="14357" width="16.8984375" style="432" bestFit="1" customWidth="1"/>
    <col min="14358" max="14358" width="13.59765625" style="432" bestFit="1" customWidth="1"/>
    <col min="14359" max="14359" width="14" style="432" customWidth="1"/>
    <col min="14360" max="14360" width="15.09765625" style="432" customWidth="1"/>
    <col min="14361" max="14361" width="12.5" style="432" customWidth="1"/>
    <col min="14362" max="14362" width="15.8984375" style="432" customWidth="1"/>
    <col min="14363" max="14363" width="14" style="432" customWidth="1"/>
    <col min="14364" max="14365" width="14" style="432" bestFit="1" customWidth="1"/>
    <col min="14366" max="14366" width="15.5" style="432" customWidth="1"/>
    <col min="14367" max="14367" width="14" style="432" bestFit="1" customWidth="1"/>
    <col min="14368" max="14368" width="15.3984375" style="432" bestFit="1" customWidth="1"/>
    <col min="14369" max="14369" width="13.09765625" style="432" bestFit="1" customWidth="1"/>
    <col min="14370" max="14593" width="11.09765625" style="432"/>
    <col min="14594" max="14594" width="3.09765625" style="432" customWidth="1"/>
    <col min="14595" max="14595" width="35.69921875" style="432" customWidth="1"/>
    <col min="14596" max="14596" width="16.19921875" style="432" customWidth="1"/>
    <col min="14597" max="14597" width="18.69921875" style="432" customWidth="1"/>
    <col min="14598" max="14598" width="16.19921875" style="432" bestFit="1" customWidth="1"/>
    <col min="14599" max="14600" width="15.3984375" style="432" bestFit="1" customWidth="1"/>
    <col min="14601" max="14602" width="13.09765625" style="432" customWidth="1"/>
    <col min="14603" max="14604" width="12.8984375" style="432" customWidth="1"/>
    <col min="14605" max="14605" width="14.3984375" style="432" bestFit="1" customWidth="1"/>
    <col min="14606" max="14606" width="5.5" style="432" customWidth="1"/>
    <col min="14607" max="14607" width="14" style="432" customWidth="1"/>
    <col min="14608" max="14608" width="16.19921875" style="432" customWidth="1"/>
    <col min="14609" max="14609" width="16" style="432" customWidth="1"/>
    <col min="14610" max="14610" width="3.09765625" style="432" customWidth="1"/>
    <col min="14611" max="14611" width="13.3984375" style="432" bestFit="1" customWidth="1"/>
    <col min="14612" max="14612" width="13.5" style="432" bestFit="1" customWidth="1"/>
    <col min="14613" max="14613" width="16.8984375" style="432" bestFit="1" customWidth="1"/>
    <col min="14614" max="14614" width="13.59765625" style="432" bestFit="1" customWidth="1"/>
    <col min="14615" max="14615" width="14" style="432" customWidth="1"/>
    <col min="14616" max="14616" width="15.09765625" style="432" customWidth="1"/>
    <col min="14617" max="14617" width="12.5" style="432" customWidth="1"/>
    <col min="14618" max="14618" width="15.8984375" style="432" customWidth="1"/>
    <col min="14619" max="14619" width="14" style="432" customWidth="1"/>
    <col min="14620" max="14621" width="14" style="432" bestFit="1" customWidth="1"/>
    <col min="14622" max="14622" width="15.5" style="432" customWidth="1"/>
    <col min="14623" max="14623" width="14" style="432" bestFit="1" customWidth="1"/>
    <col min="14624" max="14624" width="15.3984375" style="432" bestFit="1" customWidth="1"/>
    <col min="14625" max="14625" width="13.09765625" style="432" bestFit="1" customWidth="1"/>
    <col min="14626" max="14849" width="11.09765625" style="432"/>
    <col min="14850" max="14850" width="3.09765625" style="432" customWidth="1"/>
    <col min="14851" max="14851" width="35.69921875" style="432" customWidth="1"/>
    <col min="14852" max="14852" width="16.19921875" style="432" customWidth="1"/>
    <col min="14853" max="14853" width="18.69921875" style="432" customWidth="1"/>
    <col min="14854" max="14854" width="16.19921875" style="432" bestFit="1" customWidth="1"/>
    <col min="14855" max="14856" width="15.3984375" style="432" bestFit="1" customWidth="1"/>
    <col min="14857" max="14858" width="13.09765625" style="432" customWidth="1"/>
    <col min="14859" max="14860" width="12.8984375" style="432" customWidth="1"/>
    <col min="14861" max="14861" width="14.3984375" style="432" bestFit="1" customWidth="1"/>
    <col min="14862" max="14862" width="5.5" style="432" customWidth="1"/>
    <col min="14863" max="14863" width="14" style="432" customWidth="1"/>
    <col min="14864" max="14864" width="16.19921875" style="432" customWidth="1"/>
    <col min="14865" max="14865" width="16" style="432" customWidth="1"/>
    <col min="14866" max="14866" width="3.09765625" style="432" customWidth="1"/>
    <col min="14867" max="14867" width="13.3984375" style="432" bestFit="1" customWidth="1"/>
    <col min="14868" max="14868" width="13.5" style="432" bestFit="1" customWidth="1"/>
    <col min="14869" max="14869" width="16.8984375" style="432" bestFit="1" customWidth="1"/>
    <col min="14870" max="14870" width="13.59765625" style="432" bestFit="1" customWidth="1"/>
    <col min="14871" max="14871" width="14" style="432" customWidth="1"/>
    <col min="14872" max="14872" width="15.09765625" style="432" customWidth="1"/>
    <col min="14873" max="14873" width="12.5" style="432" customWidth="1"/>
    <col min="14874" max="14874" width="15.8984375" style="432" customWidth="1"/>
    <col min="14875" max="14875" width="14" style="432" customWidth="1"/>
    <col min="14876" max="14877" width="14" style="432" bestFit="1" customWidth="1"/>
    <col min="14878" max="14878" width="15.5" style="432" customWidth="1"/>
    <col min="14879" max="14879" width="14" style="432" bestFit="1" customWidth="1"/>
    <col min="14880" max="14880" width="15.3984375" style="432" bestFit="1" customWidth="1"/>
    <col min="14881" max="14881" width="13.09765625" style="432" bestFit="1" customWidth="1"/>
    <col min="14882" max="15105" width="11.09765625" style="432"/>
    <col min="15106" max="15106" width="3.09765625" style="432" customWidth="1"/>
    <col min="15107" max="15107" width="35.69921875" style="432" customWidth="1"/>
    <col min="15108" max="15108" width="16.19921875" style="432" customWidth="1"/>
    <col min="15109" max="15109" width="18.69921875" style="432" customWidth="1"/>
    <col min="15110" max="15110" width="16.19921875" style="432" bestFit="1" customWidth="1"/>
    <col min="15111" max="15112" width="15.3984375" style="432" bestFit="1" customWidth="1"/>
    <col min="15113" max="15114" width="13.09765625" style="432" customWidth="1"/>
    <col min="15115" max="15116" width="12.8984375" style="432" customWidth="1"/>
    <col min="15117" max="15117" width="14.3984375" style="432" bestFit="1" customWidth="1"/>
    <col min="15118" max="15118" width="5.5" style="432" customWidth="1"/>
    <col min="15119" max="15119" width="14" style="432" customWidth="1"/>
    <col min="15120" max="15120" width="16.19921875" style="432" customWidth="1"/>
    <col min="15121" max="15121" width="16" style="432" customWidth="1"/>
    <col min="15122" max="15122" width="3.09765625" style="432" customWidth="1"/>
    <col min="15123" max="15123" width="13.3984375" style="432" bestFit="1" customWidth="1"/>
    <col min="15124" max="15124" width="13.5" style="432" bestFit="1" customWidth="1"/>
    <col min="15125" max="15125" width="16.8984375" style="432" bestFit="1" customWidth="1"/>
    <col min="15126" max="15126" width="13.59765625" style="432" bestFit="1" customWidth="1"/>
    <col min="15127" max="15127" width="14" style="432" customWidth="1"/>
    <col min="15128" max="15128" width="15.09765625" style="432" customWidth="1"/>
    <col min="15129" max="15129" width="12.5" style="432" customWidth="1"/>
    <col min="15130" max="15130" width="15.8984375" style="432" customWidth="1"/>
    <col min="15131" max="15131" width="14" style="432" customWidth="1"/>
    <col min="15132" max="15133" width="14" style="432" bestFit="1" customWidth="1"/>
    <col min="15134" max="15134" width="15.5" style="432" customWidth="1"/>
    <col min="15135" max="15135" width="14" style="432" bestFit="1" customWidth="1"/>
    <col min="15136" max="15136" width="15.3984375" style="432" bestFit="1" customWidth="1"/>
    <col min="15137" max="15137" width="13.09765625" style="432" bestFit="1" customWidth="1"/>
    <col min="15138" max="15361" width="11.09765625" style="432"/>
    <col min="15362" max="15362" width="3.09765625" style="432" customWidth="1"/>
    <col min="15363" max="15363" width="35.69921875" style="432" customWidth="1"/>
    <col min="15364" max="15364" width="16.19921875" style="432" customWidth="1"/>
    <col min="15365" max="15365" width="18.69921875" style="432" customWidth="1"/>
    <col min="15366" max="15366" width="16.19921875" style="432" bestFit="1" customWidth="1"/>
    <col min="15367" max="15368" width="15.3984375" style="432" bestFit="1" customWidth="1"/>
    <col min="15369" max="15370" width="13.09765625" style="432" customWidth="1"/>
    <col min="15371" max="15372" width="12.8984375" style="432" customWidth="1"/>
    <col min="15373" max="15373" width="14.3984375" style="432" bestFit="1" customWidth="1"/>
    <col min="15374" max="15374" width="5.5" style="432" customWidth="1"/>
    <col min="15375" max="15375" width="14" style="432" customWidth="1"/>
    <col min="15376" max="15376" width="16.19921875" style="432" customWidth="1"/>
    <col min="15377" max="15377" width="16" style="432" customWidth="1"/>
    <col min="15378" max="15378" width="3.09765625" style="432" customWidth="1"/>
    <col min="15379" max="15379" width="13.3984375" style="432" bestFit="1" customWidth="1"/>
    <col min="15380" max="15380" width="13.5" style="432" bestFit="1" customWidth="1"/>
    <col min="15381" max="15381" width="16.8984375" style="432" bestFit="1" customWidth="1"/>
    <col min="15382" max="15382" width="13.59765625" style="432" bestFit="1" customWidth="1"/>
    <col min="15383" max="15383" width="14" style="432" customWidth="1"/>
    <col min="15384" max="15384" width="15.09765625" style="432" customWidth="1"/>
    <col min="15385" max="15385" width="12.5" style="432" customWidth="1"/>
    <col min="15386" max="15386" width="15.8984375" style="432" customWidth="1"/>
    <col min="15387" max="15387" width="14" style="432" customWidth="1"/>
    <col min="15388" max="15389" width="14" style="432" bestFit="1" customWidth="1"/>
    <col min="15390" max="15390" width="15.5" style="432" customWidth="1"/>
    <col min="15391" max="15391" width="14" style="432" bestFit="1" customWidth="1"/>
    <col min="15392" max="15392" width="15.3984375" style="432" bestFit="1" customWidth="1"/>
    <col min="15393" max="15393" width="13.09765625" style="432" bestFit="1" customWidth="1"/>
    <col min="15394" max="15617" width="11.09765625" style="432"/>
    <col min="15618" max="15618" width="3.09765625" style="432" customWidth="1"/>
    <col min="15619" max="15619" width="35.69921875" style="432" customWidth="1"/>
    <col min="15620" max="15620" width="16.19921875" style="432" customWidth="1"/>
    <col min="15621" max="15621" width="18.69921875" style="432" customWidth="1"/>
    <col min="15622" max="15622" width="16.19921875" style="432" bestFit="1" customWidth="1"/>
    <col min="15623" max="15624" width="15.3984375" style="432" bestFit="1" customWidth="1"/>
    <col min="15625" max="15626" width="13.09765625" style="432" customWidth="1"/>
    <col min="15627" max="15628" width="12.8984375" style="432" customWidth="1"/>
    <col min="15629" max="15629" width="14.3984375" style="432" bestFit="1" customWidth="1"/>
    <col min="15630" max="15630" width="5.5" style="432" customWidth="1"/>
    <col min="15631" max="15631" width="14" style="432" customWidth="1"/>
    <col min="15632" max="15632" width="16.19921875" style="432" customWidth="1"/>
    <col min="15633" max="15633" width="16" style="432" customWidth="1"/>
    <col min="15634" max="15634" width="3.09765625" style="432" customWidth="1"/>
    <col min="15635" max="15635" width="13.3984375" style="432" bestFit="1" customWidth="1"/>
    <col min="15636" max="15636" width="13.5" style="432" bestFit="1" customWidth="1"/>
    <col min="15637" max="15637" width="16.8984375" style="432" bestFit="1" customWidth="1"/>
    <col min="15638" max="15638" width="13.59765625" style="432" bestFit="1" customWidth="1"/>
    <col min="15639" max="15639" width="14" style="432" customWidth="1"/>
    <col min="15640" max="15640" width="15.09765625" style="432" customWidth="1"/>
    <col min="15641" max="15641" width="12.5" style="432" customWidth="1"/>
    <col min="15642" max="15642" width="15.8984375" style="432" customWidth="1"/>
    <col min="15643" max="15643" width="14" style="432" customWidth="1"/>
    <col min="15644" max="15645" width="14" style="432" bestFit="1" customWidth="1"/>
    <col min="15646" max="15646" width="15.5" style="432" customWidth="1"/>
    <col min="15647" max="15647" width="14" style="432" bestFit="1" customWidth="1"/>
    <col min="15648" max="15648" width="15.3984375" style="432" bestFit="1" customWidth="1"/>
    <col min="15649" max="15649" width="13.09765625" style="432" bestFit="1" customWidth="1"/>
    <col min="15650" max="15873" width="11.09765625" style="432"/>
    <col min="15874" max="15874" width="3.09765625" style="432" customWidth="1"/>
    <col min="15875" max="15875" width="35.69921875" style="432" customWidth="1"/>
    <col min="15876" max="15876" width="16.19921875" style="432" customWidth="1"/>
    <col min="15877" max="15877" width="18.69921875" style="432" customWidth="1"/>
    <col min="15878" max="15878" width="16.19921875" style="432" bestFit="1" customWidth="1"/>
    <col min="15879" max="15880" width="15.3984375" style="432" bestFit="1" customWidth="1"/>
    <col min="15881" max="15882" width="13.09765625" style="432" customWidth="1"/>
    <col min="15883" max="15884" width="12.8984375" style="432" customWidth="1"/>
    <col min="15885" max="15885" width="14.3984375" style="432" bestFit="1" customWidth="1"/>
    <col min="15886" max="15886" width="5.5" style="432" customWidth="1"/>
    <col min="15887" max="15887" width="14" style="432" customWidth="1"/>
    <col min="15888" max="15888" width="16.19921875" style="432" customWidth="1"/>
    <col min="15889" max="15889" width="16" style="432" customWidth="1"/>
    <col min="15890" max="15890" width="3.09765625" style="432" customWidth="1"/>
    <col min="15891" max="15891" width="13.3984375" style="432" bestFit="1" customWidth="1"/>
    <col min="15892" max="15892" width="13.5" style="432" bestFit="1" customWidth="1"/>
    <col min="15893" max="15893" width="16.8984375" style="432" bestFit="1" customWidth="1"/>
    <col min="15894" max="15894" width="13.59765625" style="432" bestFit="1" customWidth="1"/>
    <col min="15895" max="15895" width="14" style="432" customWidth="1"/>
    <col min="15896" max="15896" width="15.09765625" style="432" customWidth="1"/>
    <col min="15897" max="15897" width="12.5" style="432" customWidth="1"/>
    <col min="15898" max="15898" width="15.8984375" style="432" customWidth="1"/>
    <col min="15899" max="15899" width="14" style="432" customWidth="1"/>
    <col min="15900" max="15901" width="14" style="432" bestFit="1" customWidth="1"/>
    <col min="15902" max="15902" width="15.5" style="432" customWidth="1"/>
    <col min="15903" max="15903" width="14" style="432" bestFit="1" customWidth="1"/>
    <col min="15904" max="15904" width="15.3984375" style="432" bestFit="1" customWidth="1"/>
    <col min="15905" max="15905" width="13.09765625" style="432" bestFit="1" customWidth="1"/>
    <col min="15906" max="16129" width="11.09765625" style="432"/>
    <col min="16130" max="16130" width="3.09765625" style="432" customWidth="1"/>
    <col min="16131" max="16131" width="35.69921875" style="432" customWidth="1"/>
    <col min="16132" max="16132" width="16.19921875" style="432" customWidth="1"/>
    <col min="16133" max="16133" width="18.69921875" style="432" customWidth="1"/>
    <col min="16134" max="16134" width="16.19921875" style="432" bestFit="1" customWidth="1"/>
    <col min="16135" max="16136" width="15.3984375" style="432" bestFit="1" customWidth="1"/>
    <col min="16137" max="16138" width="13.09765625" style="432" customWidth="1"/>
    <col min="16139" max="16140" width="12.8984375" style="432" customWidth="1"/>
    <col min="16141" max="16141" width="14.3984375" style="432" bestFit="1" customWidth="1"/>
    <col min="16142" max="16142" width="5.5" style="432" customWidth="1"/>
    <col min="16143" max="16143" width="14" style="432" customWidth="1"/>
    <col min="16144" max="16144" width="16.19921875" style="432" customWidth="1"/>
    <col min="16145" max="16145" width="16" style="432" customWidth="1"/>
    <col min="16146" max="16146" width="3.09765625" style="432" customWidth="1"/>
    <col min="16147" max="16147" width="13.3984375" style="432" bestFit="1" customWidth="1"/>
    <col min="16148" max="16148" width="13.5" style="432" bestFit="1" customWidth="1"/>
    <col min="16149" max="16149" width="16.8984375" style="432" bestFit="1" customWidth="1"/>
    <col min="16150" max="16150" width="13.59765625" style="432" bestFit="1" customWidth="1"/>
    <col min="16151" max="16151" width="14" style="432" customWidth="1"/>
    <col min="16152" max="16152" width="15.09765625" style="432" customWidth="1"/>
    <col min="16153" max="16153" width="12.5" style="432" customWidth="1"/>
    <col min="16154" max="16154" width="15.8984375" style="432" customWidth="1"/>
    <col min="16155" max="16155" width="14" style="432" customWidth="1"/>
    <col min="16156" max="16157" width="14" style="432" bestFit="1" customWidth="1"/>
    <col min="16158" max="16158" width="15.5" style="432" customWidth="1"/>
    <col min="16159" max="16159" width="14" style="432" bestFit="1" customWidth="1"/>
    <col min="16160" max="16160" width="15.3984375" style="432" bestFit="1" customWidth="1"/>
    <col min="16161" max="16161" width="13.09765625" style="432" bestFit="1" customWidth="1"/>
    <col min="16162" max="16384" width="11.09765625" style="432"/>
  </cols>
  <sheetData>
    <row r="1" spans="1:35" ht="14.4" x14ac:dyDescent="0.3">
      <c r="B1" s="433"/>
      <c r="L1" s="434"/>
      <c r="T1" s="436" t="s">
        <v>1417</v>
      </c>
    </row>
    <row r="2" spans="1:35" ht="15.75" customHeight="1" x14ac:dyDescent="0.3">
      <c r="A2" s="437"/>
      <c r="B2" s="438" t="s">
        <v>1548</v>
      </c>
      <c r="C2" s="439"/>
      <c r="D2" s="625" t="s">
        <v>1418</v>
      </c>
      <c r="E2" s="626"/>
      <c r="F2" s="626"/>
      <c r="G2" s="626"/>
      <c r="H2" s="626"/>
      <c r="I2" s="626"/>
      <c r="J2" s="626"/>
      <c r="L2" s="627" t="s">
        <v>1419</v>
      </c>
      <c r="M2" s="628"/>
      <c r="N2" s="629"/>
      <c r="P2" s="630" t="s">
        <v>1420</v>
      </c>
      <c r="Q2" s="631"/>
      <c r="R2" s="631"/>
      <c r="S2" s="631"/>
      <c r="T2" s="631"/>
      <c r="U2" s="631"/>
      <c r="V2" s="631"/>
      <c r="W2" s="632"/>
      <c r="X2" s="633" t="s">
        <v>1421</v>
      </c>
      <c r="Y2" s="634"/>
      <c r="Z2" s="634"/>
      <c r="AA2" s="634"/>
      <c r="AB2" s="635"/>
      <c r="AC2" s="440"/>
      <c r="AD2" s="441"/>
    </row>
    <row r="3" spans="1:35" ht="43.5" customHeight="1" x14ac:dyDescent="0.3">
      <c r="C3" s="442" t="s">
        <v>1559</v>
      </c>
      <c r="D3" s="443" t="s">
        <v>1422</v>
      </c>
      <c r="E3" s="443" t="s">
        <v>1423</v>
      </c>
      <c r="F3" s="443" t="s">
        <v>1424</v>
      </c>
      <c r="G3" s="443" t="s">
        <v>361</v>
      </c>
      <c r="H3" s="443" t="s">
        <v>1425</v>
      </c>
      <c r="I3" s="443" t="s">
        <v>387</v>
      </c>
      <c r="J3" s="444" t="s">
        <v>1426</v>
      </c>
      <c r="K3" s="445"/>
      <c r="L3" s="444" t="s">
        <v>1496</v>
      </c>
      <c r="M3" s="444" t="s">
        <v>1427</v>
      </c>
      <c r="N3" s="446" t="s">
        <v>1428</v>
      </c>
      <c r="P3" s="447" t="s">
        <v>1429</v>
      </c>
      <c r="Q3" s="447" t="s">
        <v>97</v>
      </c>
      <c r="R3" s="447" t="s">
        <v>1430</v>
      </c>
      <c r="S3" s="447" t="s">
        <v>1431</v>
      </c>
      <c r="T3" s="447" t="s">
        <v>1432</v>
      </c>
      <c r="U3" s="447" t="s">
        <v>1433</v>
      </c>
      <c r="V3" s="447" t="s">
        <v>1434</v>
      </c>
      <c r="W3" s="447" t="s">
        <v>1435</v>
      </c>
      <c r="X3" s="448" t="s">
        <v>387</v>
      </c>
      <c r="Y3" s="447" t="s">
        <v>1436</v>
      </c>
      <c r="Z3" s="447" t="s">
        <v>1437</v>
      </c>
      <c r="AA3" s="447" t="s">
        <v>1438</v>
      </c>
      <c r="AB3" s="447" t="s">
        <v>1439</v>
      </c>
      <c r="AC3" s="447" t="s">
        <v>1440</v>
      </c>
      <c r="AD3" s="447"/>
      <c r="AE3" s="449" t="s">
        <v>332</v>
      </c>
      <c r="AF3" s="450"/>
      <c r="AG3" s="450"/>
      <c r="AH3" s="450"/>
      <c r="AI3" s="450"/>
    </row>
    <row r="4" spans="1:35" x14ac:dyDescent="0.3">
      <c r="B4" s="451" t="s">
        <v>205</v>
      </c>
      <c r="C4" s="537"/>
      <c r="D4" s="453"/>
      <c r="E4" s="454"/>
      <c r="F4" s="454"/>
      <c r="G4" s="454"/>
      <c r="H4" s="454"/>
      <c r="I4" s="454"/>
      <c r="J4" s="454"/>
      <c r="L4" s="452"/>
      <c r="M4" s="455"/>
      <c r="N4" s="456"/>
      <c r="P4" s="457"/>
      <c r="Q4" s="457"/>
      <c r="R4" s="452"/>
      <c r="S4" s="452"/>
      <c r="T4" s="452"/>
      <c r="U4" s="452"/>
      <c r="V4" s="452"/>
      <c r="W4" s="452"/>
      <c r="X4" s="458"/>
      <c r="Y4" s="452"/>
      <c r="Z4" s="452"/>
      <c r="AA4" s="452"/>
      <c r="AB4" s="452"/>
      <c r="AC4" s="452"/>
      <c r="AD4" s="452"/>
      <c r="AE4" s="452"/>
    </row>
    <row r="5" spans="1:35" x14ac:dyDescent="0.3">
      <c r="B5" s="459" t="s">
        <v>64</v>
      </c>
      <c r="C5" s="538">
        <f>+BG!D9</f>
        <v>10781204612</v>
      </c>
      <c r="D5" s="461"/>
      <c r="E5" s="462"/>
      <c r="F5" s="462"/>
      <c r="G5" s="462"/>
      <c r="H5" s="462"/>
      <c r="I5" s="462"/>
      <c r="J5" s="462"/>
      <c r="K5" s="434"/>
      <c r="L5" s="463">
        <f>SUM(C5:J5)</f>
        <v>10781204612</v>
      </c>
      <c r="M5" s="460">
        <f>+BG!F9</f>
        <v>8439245256</v>
      </c>
      <c r="N5" s="464">
        <f t="shared" ref="N5:N44" si="0">L5-M5</f>
        <v>2341959356</v>
      </c>
      <c r="P5" s="465"/>
      <c r="Q5" s="466"/>
      <c r="R5" s="467"/>
      <c r="S5" s="467"/>
      <c r="T5" s="467"/>
      <c r="U5" s="467"/>
      <c r="V5" s="467"/>
      <c r="W5" s="467"/>
      <c r="Y5" s="467"/>
      <c r="Z5" s="467"/>
      <c r="AA5" s="467"/>
      <c r="AB5" s="467"/>
      <c r="AC5" s="467"/>
      <c r="AD5" s="467"/>
      <c r="AE5" s="463">
        <f t="shared" ref="AE5:AE45" si="1">SUM(N5:AD5)</f>
        <v>2341959356</v>
      </c>
      <c r="AH5" s="468"/>
    </row>
    <row r="6" spans="1:35" x14ac:dyDescent="0.3">
      <c r="B6" s="459" t="s">
        <v>207</v>
      </c>
      <c r="C6" s="538">
        <v>0</v>
      </c>
      <c r="E6" s="461">
        <f>-E39</f>
        <v>0</v>
      </c>
      <c r="F6" s="462"/>
      <c r="G6" s="469"/>
      <c r="H6" s="469"/>
      <c r="I6" s="462"/>
      <c r="J6" s="462"/>
      <c r="K6" s="434"/>
      <c r="L6" s="463">
        <f t="shared" ref="L6:L45" si="2">SUM(C6:J6)</f>
        <v>0</v>
      </c>
      <c r="M6" s="460">
        <v>0</v>
      </c>
      <c r="N6" s="464">
        <f t="shared" si="0"/>
        <v>0</v>
      </c>
      <c r="P6" s="470">
        <v>0</v>
      </c>
      <c r="Q6" s="470"/>
      <c r="R6" s="467"/>
      <c r="S6" s="467"/>
      <c r="T6" s="467"/>
      <c r="U6" s="467"/>
      <c r="V6" s="467"/>
      <c r="W6" s="467"/>
      <c r="Y6" s="467"/>
      <c r="Z6" s="467"/>
      <c r="AA6" s="467"/>
      <c r="AB6" s="467"/>
      <c r="AC6" s="467"/>
      <c r="AD6" s="467"/>
      <c r="AE6" s="463">
        <f t="shared" si="1"/>
        <v>0</v>
      </c>
    </row>
    <row r="7" spans="1:35" x14ac:dyDescent="0.3">
      <c r="B7" s="459" t="s">
        <v>66</v>
      </c>
      <c r="C7" s="538">
        <f>+BG!D11</f>
        <v>28623406508</v>
      </c>
      <c r="D7" s="461"/>
      <c r="E7" s="462"/>
      <c r="F7" s="469"/>
      <c r="G7" s="469"/>
      <c r="H7" s="469"/>
      <c r="I7" s="462"/>
      <c r="J7" s="462"/>
      <c r="K7" s="434"/>
      <c r="L7" s="463">
        <f t="shared" si="2"/>
        <v>28623406508</v>
      </c>
      <c r="M7" s="460">
        <f>+BG!F11</f>
        <v>17326081848</v>
      </c>
      <c r="N7" s="464">
        <f t="shared" si="0"/>
        <v>11297324660</v>
      </c>
      <c r="P7" s="470">
        <f>-N7</f>
        <v>-11297324660</v>
      </c>
      <c r="Q7" s="470">
        <v>0</v>
      </c>
      <c r="R7" s="470">
        <v>0</v>
      </c>
      <c r="S7" s="470">
        <v>0</v>
      </c>
      <c r="T7" s="470">
        <v>0</v>
      </c>
      <c r="U7" s="470">
        <v>0</v>
      </c>
      <c r="V7" s="470">
        <v>0</v>
      </c>
      <c r="W7" s="470">
        <v>0</v>
      </c>
      <c r="X7" s="470">
        <v>0</v>
      </c>
      <c r="Y7" s="470">
        <v>0</v>
      </c>
      <c r="Z7" s="470">
        <v>0</v>
      </c>
      <c r="AA7" s="470">
        <v>0</v>
      </c>
      <c r="AB7" s="470">
        <v>0</v>
      </c>
      <c r="AC7" s="470">
        <v>0</v>
      </c>
      <c r="AD7" s="463"/>
      <c r="AE7" s="463">
        <f t="shared" si="1"/>
        <v>0</v>
      </c>
    </row>
    <row r="8" spans="1:35" x14ac:dyDescent="0.3">
      <c r="B8" s="459" t="s">
        <v>68</v>
      </c>
      <c r="C8" s="538">
        <f>+BG!D17</f>
        <v>1703680679</v>
      </c>
      <c r="D8" s="461"/>
      <c r="E8" s="462"/>
      <c r="F8" s="469"/>
      <c r="G8" s="469"/>
      <c r="H8" s="469"/>
      <c r="I8" s="462"/>
      <c r="J8" s="462"/>
      <c r="K8" s="434"/>
      <c r="L8" s="463">
        <f t="shared" si="2"/>
        <v>1703680679</v>
      </c>
      <c r="M8" s="460">
        <f>+BG!F12</f>
        <v>5239225433</v>
      </c>
      <c r="N8" s="464">
        <f t="shared" si="0"/>
        <v>-3535544754</v>
      </c>
      <c r="P8" s="470">
        <f>-N8</f>
        <v>3535544754</v>
      </c>
      <c r="Q8" s="470">
        <v>0</v>
      </c>
      <c r="R8" s="470">
        <v>0</v>
      </c>
      <c r="S8" s="470">
        <v>0</v>
      </c>
      <c r="T8" s="470">
        <v>0</v>
      </c>
      <c r="U8" s="470">
        <v>0</v>
      </c>
      <c r="V8" s="470">
        <v>0</v>
      </c>
      <c r="W8" s="470">
        <v>0</v>
      </c>
      <c r="X8" s="470">
        <v>0</v>
      </c>
      <c r="Y8" s="470">
        <v>0</v>
      </c>
      <c r="Z8" s="470">
        <v>0</v>
      </c>
      <c r="AA8" s="470">
        <v>0</v>
      </c>
      <c r="AB8" s="470">
        <v>0</v>
      </c>
      <c r="AC8" s="470">
        <v>0</v>
      </c>
      <c r="AD8" s="463"/>
      <c r="AE8" s="463">
        <f t="shared" si="1"/>
        <v>0</v>
      </c>
    </row>
    <row r="9" spans="1:35" x14ac:dyDescent="0.3">
      <c r="B9" s="459" t="s">
        <v>70</v>
      </c>
      <c r="C9" s="538">
        <f>+BG!D13</f>
        <v>170910889951</v>
      </c>
      <c r="D9" s="461"/>
      <c r="E9" s="462"/>
      <c r="F9" s="469"/>
      <c r="G9" s="469"/>
      <c r="H9" s="469">
        <v>-32682202239</v>
      </c>
      <c r="I9" s="462"/>
      <c r="J9" s="462"/>
      <c r="L9" s="463">
        <f t="shared" si="2"/>
        <v>138228687712</v>
      </c>
      <c r="M9" s="460">
        <f>+BG!F13</f>
        <v>203485576319</v>
      </c>
      <c r="N9" s="464">
        <f t="shared" si="0"/>
        <v>-65256888607</v>
      </c>
      <c r="P9" s="470">
        <v>0</v>
      </c>
      <c r="Q9" s="470">
        <f>-N9</f>
        <v>65256888607</v>
      </c>
      <c r="R9" s="470">
        <v>0</v>
      </c>
      <c r="S9" s="470">
        <v>0</v>
      </c>
      <c r="T9" s="470">
        <v>0</v>
      </c>
      <c r="U9" s="470">
        <v>0</v>
      </c>
      <c r="V9" s="470">
        <v>0</v>
      </c>
      <c r="W9" s="470">
        <v>0</v>
      </c>
      <c r="X9" s="470">
        <v>0</v>
      </c>
      <c r="Y9" s="470">
        <v>0</v>
      </c>
      <c r="Z9" s="470">
        <v>0</v>
      </c>
      <c r="AA9" s="470">
        <v>0</v>
      </c>
      <c r="AB9" s="470">
        <v>0</v>
      </c>
      <c r="AC9" s="470">
        <v>0</v>
      </c>
      <c r="AD9" s="467"/>
      <c r="AE9" s="463">
        <f t="shared" si="1"/>
        <v>0</v>
      </c>
    </row>
    <row r="10" spans="1:35" x14ac:dyDescent="0.3">
      <c r="B10" s="459" t="s">
        <v>1441</v>
      </c>
      <c r="C10" s="535">
        <f>+BG!D12</f>
        <v>10449556863</v>
      </c>
      <c r="D10" s="461"/>
      <c r="E10" s="467"/>
      <c r="F10" s="469"/>
      <c r="G10" s="469"/>
      <c r="H10" s="469">
        <f>-H9</f>
        <v>32682202239</v>
      </c>
      <c r="I10" s="462"/>
      <c r="J10" s="462"/>
      <c r="L10" s="463">
        <f t="shared" si="2"/>
        <v>43131759102</v>
      </c>
      <c r="M10" s="460">
        <f>+BG!F17</f>
        <v>1563872324</v>
      </c>
      <c r="N10" s="464">
        <f t="shared" si="0"/>
        <v>41567886778</v>
      </c>
      <c r="P10" s="470">
        <v>0</v>
      </c>
      <c r="Q10" s="470">
        <v>0</v>
      </c>
      <c r="R10" s="470">
        <v>0</v>
      </c>
      <c r="S10" s="470">
        <f>-N10</f>
        <v>-41567886778</v>
      </c>
      <c r="T10" s="470">
        <v>0</v>
      </c>
      <c r="U10" s="470">
        <v>0</v>
      </c>
      <c r="V10" s="470">
        <v>0</v>
      </c>
      <c r="W10" s="470">
        <v>0</v>
      </c>
      <c r="X10" s="470">
        <v>0</v>
      </c>
      <c r="Y10" s="470">
        <v>0</v>
      </c>
      <c r="Z10" s="470">
        <v>0</v>
      </c>
      <c r="AA10" s="470">
        <v>0</v>
      </c>
      <c r="AB10" s="470">
        <v>0</v>
      </c>
      <c r="AC10" s="470">
        <v>0</v>
      </c>
      <c r="AD10" s="467"/>
      <c r="AE10" s="463">
        <f t="shared" si="1"/>
        <v>0</v>
      </c>
    </row>
    <row r="11" spans="1:35" x14ac:dyDescent="0.3">
      <c r="B11" s="459" t="s">
        <v>66</v>
      </c>
      <c r="C11" s="538">
        <v>0</v>
      </c>
      <c r="D11" s="461"/>
      <c r="E11" s="467"/>
      <c r="F11" s="469"/>
      <c r="G11" s="463">
        <f>+-(C59+C60)</f>
        <v>0</v>
      </c>
      <c r="H11" s="469"/>
      <c r="I11" s="462"/>
      <c r="J11" s="462"/>
      <c r="L11" s="463">
        <f t="shared" si="2"/>
        <v>0</v>
      </c>
      <c r="M11" s="460">
        <v>0</v>
      </c>
      <c r="N11" s="464">
        <f t="shared" si="0"/>
        <v>0</v>
      </c>
      <c r="P11" s="470">
        <v>0</v>
      </c>
      <c r="Q11" s="470">
        <v>0</v>
      </c>
      <c r="R11" s="470">
        <v>0</v>
      </c>
      <c r="S11" s="470">
        <v>0</v>
      </c>
      <c r="T11" s="470">
        <v>0</v>
      </c>
      <c r="U11" s="470">
        <v>0</v>
      </c>
      <c r="V11" s="470">
        <v>0</v>
      </c>
      <c r="W11" s="470">
        <v>0</v>
      </c>
      <c r="X11" s="470">
        <v>0</v>
      </c>
      <c r="Y11" s="470">
        <v>0</v>
      </c>
      <c r="Z11" s="470">
        <v>0</v>
      </c>
      <c r="AA11" s="470">
        <v>0</v>
      </c>
      <c r="AB11" s="470">
        <v>0</v>
      </c>
      <c r="AC11" s="470">
        <v>0</v>
      </c>
      <c r="AD11" s="467"/>
      <c r="AE11" s="463">
        <f t="shared" si="1"/>
        <v>0</v>
      </c>
    </row>
    <row r="12" spans="1:35" x14ac:dyDescent="0.3">
      <c r="B12" s="459" t="s">
        <v>1442</v>
      </c>
      <c r="C12" s="538">
        <v>0</v>
      </c>
      <c r="D12" s="461"/>
      <c r="E12" s="467"/>
      <c r="F12" s="469"/>
      <c r="G12" s="469"/>
      <c r="H12" s="469"/>
      <c r="I12" s="462"/>
      <c r="J12" s="462"/>
      <c r="L12" s="463">
        <f t="shared" si="2"/>
        <v>0</v>
      </c>
      <c r="M12" s="460">
        <v>0</v>
      </c>
      <c r="N12" s="464">
        <f t="shared" si="0"/>
        <v>0</v>
      </c>
      <c r="P12" s="470">
        <v>0</v>
      </c>
      <c r="Q12" s="470">
        <v>0</v>
      </c>
      <c r="R12" s="470">
        <v>0</v>
      </c>
      <c r="S12" s="470">
        <v>0</v>
      </c>
      <c r="T12" s="470">
        <v>0</v>
      </c>
      <c r="U12" s="470">
        <v>0</v>
      </c>
      <c r="V12" s="470">
        <v>0</v>
      </c>
      <c r="W12" s="470">
        <v>0</v>
      </c>
      <c r="X12" s="470">
        <v>0</v>
      </c>
      <c r="Y12" s="470">
        <v>0</v>
      </c>
      <c r="Z12" s="470">
        <v>0</v>
      </c>
      <c r="AA12" s="470">
        <v>0</v>
      </c>
      <c r="AB12" s="470">
        <v>0</v>
      </c>
      <c r="AC12" s="470">
        <v>0</v>
      </c>
      <c r="AD12" s="467"/>
      <c r="AE12" s="463">
        <f t="shared" si="1"/>
        <v>0</v>
      </c>
    </row>
    <row r="13" spans="1:35" x14ac:dyDescent="0.3">
      <c r="B13" s="459" t="s">
        <v>1443</v>
      </c>
      <c r="C13" s="538">
        <f>+BG!D19+BG!D20</f>
        <v>245158316990</v>
      </c>
      <c r="D13" s="461"/>
      <c r="E13" s="467"/>
      <c r="F13" s="469">
        <f>-F28</f>
        <v>0</v>
      </c>
      <c r="G13" s="469">
        <f>-G37</f>
        <v>6423833664</v>
      </c>
      <c r="H13" s="469"/>
      <c r="I13" s="462"/>
      <c r="J13" s="462"/>
      <c r="L13" s="463">
        <f t="shared" si="2"/>
        <v>251582150654</v>
      </c>
      <c r="M13" s="460">
        <f>+BG!F19+BG!F20</f>
        <v>175988273526</v>
      </c>
      <c r="N13" s="464">
        <f>L13-M13</f>
        <v>75593877128</v>
      </c>
      <c r="P13" s="470">
        <v>0</v>
      </c>
      <c r="Q13" s="470">
        <v>0</v>
      </c>
      <c r="R13" s="470">
        <v>0</v>
      </c>
      <c r="S13" s="470">
        <v>0</v>
      </c>
      <c r="T13" s="470">
        <v>0</v>
      </c>
      <c r="U13" s="470">
        <v>0</v>
      </c>
      <c r="V13" s="470">
        <v>0</v>
      </c>
      <c r="W13" s="470">
        <v>0</v>
      </c>
      <c r="X13" s="470">
        <v>0</v>
      </c>
      <c r="Y13" s="470">
        <v>0</v>
      </c>
      <c r="Z13" s="470">
        <v>0</v>
      </c>
      <c r="AA13" s="470">
        <v>0</v>
      </c>
      <c r="AB13" s="470">
        <f>-N13</f>
        <v>-75593877128</v>
      </c>
      <c r="AC13" s="470">
        <v>0</v>
      </c>
      <c r="AD13" s="467"/>
      <c r="AE13" s="463">
        <f t="shared" si="1"/>
        <v>0</v>
      </c>
    </row>
    <row r="14" spans="1:35" x14ac:dyDescent="0.3">
      <c r="B14" s="459" t="s">
        <v>1444</v>
      </c>
      <c r="C14" s="538">
        <v>0</v>
      </c>
      <c r="D14" s="461"/>
      <c r="E14" s="467"/>
      <c r="F14" s="469"/>
      <c r="G14" s="469"/>
      <c r="H14" s="469"/>
      <c r="I14" s="462"/>
      <c r="J14" s="462"/>
      <c r="L14" s="463">
        <f t="shared" si="2"/>
        <v>0</v>
      </c>
      <c r="M14" s="460">
        <v>0</v>
      </c>
      <c r="N14" s="464">
        <f t="shared" si="0"/>
        <v>0</v>
      </c>
      <c r="P14" s="470">
        <v>0</v>
      </c>
      <c r="Q14" s="470">
        <v>0</v>
      </c>
      <c r="R14" s="470">
        <v>0</v>
      </c>
      <c r="S14" s="470">
        <v>0</v>
      </c>
      <c r="T14" s="470">
        <v>0</v>
      </c>
      <c r="U14" s="470">
        <v>0</v>
      </c>
      <c r="V14" s="470">
        <v>0</v>
      </c>
      <c r="W14" s="470">
        <v>0</v>
      </c>
      <c r="X14" s="470">
        <v>0</v>
      </c>
      <c r="Y14" s="470">
        <v>0</v>
      </c>
      <c r="Z14" s="470">
        <v>0</v>
      </c>
      <c r="AA14" s="470">
        <v>0</v>
      </c>
      <c r="AB14" s="470">
        <v>0</v>
      </c>
      <c r="AC14" s="470">
        <v>0</v>
      </c>
      <c r="AD14" s="467"/>
      <c r="AE14" s="463">
        <f t="shared" si="1"/>
        <v>0</v>
      </c>
    </row>
    <row r="15" spans="1:35" x14ac:dyDescent="0.3">
      <c r="B15" s="459" t="s">
        <v>1445</v>
      </c>
      <c r="C15" s="460">
        <v>0</v>
      </c>
      <c r="D15" s="461"/>
      <c r="E15" s="467"/>
      <c r="F15" s="469"/>
      <c r="G15" s="469"/>
      <c r="H15" s="469"/>
      <c r="I15" s="462"/>
      <c r="J15" s="462"/>
      <c r="L15" s="463">
        <f t="shared" si="2"/>
        <v>0</v>
      </c>
      <c r="M15" s="460">
        <v>0</v>
      </c>
      <c r="N15" s="464">
        <f t="shared" si="0"/>
        <v>0</v>
      </c>
      <c r="P15" s="470">
        <v>0</v>
      </c>
      <c r="Q15" s="470">
        <v>0</v>
      </c>
      <c r="R15" s="470">
        <v>0</v>
      </c>
      <c r="S15" s="470">
        <v>0</v>
      </c>
      <c r="T15" s="470">
        <v>0</v>
      </c>
      <c r="U15" s="470">
        <v>0</v>
      </c>
      <c r="V15" s="470">
        <v>0</v>
      </c>
      <c r="W15" s="470">
        <v>0</v>
      </c>
      <c r="X15" s="470">
        <v>0</v>
      </c>
      <c r="Y15" s="470">
        <v>0</v>
      </c>
      <c r="Z15" s="470">
        <v>0</v>
      </c>
      <c r="AA15" s="470">
        <v>0</v>
      </c>
      <c r="AB15" s="470">
        <v>0</v>
      </c>
      <c r="AC15" s="470">
        <v>0</v>
      </c>
      <c r="AD15" s="467"/>
      <c r="AE15" s="463">
        <f t="shared" si="1"/>
        <v>0</v>
      </c>
    </row>
    <row r="16" spans="1:35" x14ac:dyDescent="0.3">
      <c r="B16" s="459"/>
      <c r="C16" s="472"/>
      <c r="D16" s="461"/>
      <c r="E16" s="462"/>
      <c r="F16" s="469"/>
      <c r="G16" s="469"/>
      <c r="H16" s="469"/>
      <c r="I16" s="462"/>
      <c r="J16" s="473"/>
      <c r="K16" s="434"/>
      <c r="L16" s="463">
        <f t="shared" si="2"/>
        <v>0</v>
      </c>
      <c r="M16" s="460">
        <v>0</v>
      </c>
      <c r="N16" s="464">
        <f t="shared" si="0"/>
        <v>0</v>
      </c>
      <c r="P16" s="470">
        <v>0</v>
      </c>
      <c r="Q16" s="470">
        <v>0</v>
      </c>
      <c r="R16" s="470">
        <v>0</v>
      </c>
      <c r="S16" s="470">
        <v>0</v>
      </c>
      <c r="T16" s="470">
        <v>0</v>
      </c>
      <c r="U16" s="470">
        <v>0</v>
      </c>
      <c r="V16" s="470">
        <v>0</v>
      </c>
      <c r="W16" s="470">
        <v>0</v>
      </c>
      <c r="X16" s="470">
        <v>0</v>
      </c>
      <c r="Y16" s="470">
        <v>0</v>
      </c>
      <c r="Z16" s="470">
        <v>0</v>
      </c>
      <c r="AA16" s="470">
        <v>0</v>
      </c>
      <c r="AB16" s="470">
        <v>0</v>
      </c>
      <c r="AC16" s="470">
        <v>0</v>
      </c>
      <c r="AD16" s="467"/>
      <c r="AE16" s="463">
        <f t="shared" si="1"/>
        <v>0</v>
      </c>
      <c r="AG16" s="434"/>
    </row>
    <row r="17" spans="1:33" x14ac:dyDescent="0.3">
      <c r="B17" s="474" t="s">
        <v>217</v>
      </c>
      <c r="C17" s="464"/>
      <c r="D17" s="461"/>
      <c r="E17" s="462"/>
      <c r="F17" s="469"/>
      <c r="G17" s="469"/>
      <c r="H17" s="469"/>
      <c r="I17" s="462"/>
      <c r="J17" s="473"/>
      <c r="L17" s="463">
        <f t="shared" si="2"/>
        <v>0</v>
      </c>
      <c r="M17" s="460">
        <v>0</v>
      </c>
      <c r="N17" s="464">
        <f t="shared" si="0"/>
        <v>0</v>
      </c>
      <c r="P17" s="470">
        <v>0</v>
      </c>
      <c r="Q17" s="470">
        <v>0</v>
      </c>
      <c r="R17" s="470">
        <v>0</v>
      </c>
      <c r="S17" s="470">
        <v>0</v>
      </c>
      <c r="T17" s="470">
        <v>0</v>
      </c>
      <c r="U17" s="470">
        <v>0</v>
      </c>
      <c r="V17" s="470">
        <v>0</v>
      </c>
      <c r="W17" s="470">
        <v>0</v>
      </c>
      <c r="X17" s="470">
        <v>0</v>
      </c>
      <c r="Y17" s="470">
        <v>0</v>
      </c>
      <c r="Z17" s="470">
        <v>0</v>
      </c>
      <c r="AA17" s="470">
        <v>0</v>
      </c>
      <c r="AB17" s="470">
        <v>0</v>
      </c>
      <c r="AC17" s="470">
        <v>0</v>
      </c>
      <c r="AD17" s="467"/>
      <c r="AE17" s="463">
        <f t="shared" si="1"/>
        <v>0</v>
      </c>
      <c r="AG17" s="471"/>
    </row>
    <row r="18" spans="1:33" x14ac:dyDescent="0.3">
      <c r="B18" s="475" t="s">
        <v>74</v>
      </c>
      <c r="C18" s="472">
        <f>-BG!D27</f>
        <v>-33660526877</v>
      </c>
      <c r="D18" s="461"/>
      <c r="E18" s="462"/>
      <c r="F18" s="469"/>
      <c r="G18" s="469"/>
      <c r="H18" s="469">
        <f>+C62</f>
        <v>0</v>
      </c>
      <c r="I18" s="462"/>
      <c r="J18" s="473"/>
      <c r="K18" s="434"/>
      <c r="L18" s="463">
        <f t="shared" si="2"/>
        <v>-33660526877</v>
      </c>
      <c r="M18" s="460">
        <f>-BG!F27</f>
        <v>-68592883528</v>
      </c>
      <c r="N18" s="464">
        <f t="shared" si="0"/>
        <v>34932356651</v>
      </c>
      <c r="P18" s="470">
        <v>0</v>
      </c>
      <c r="Q18" s="470">
        <f>-N18</f>
        <v>-34932356651</v>
      </c>
      <c r="R18" s="470">
        <v>0</v>
      </c>
      <c r="S18" s="470">
        <v>0</v>
      </c>
      <c r="T18" s="470">
        <v>0</v>
      </c>
      <c r="U18" s="470">
        <v>0</v>
      </c>
      <c r="V18" s="470">
        <v>0</v>
      </c>
      <c r="W18" s="470">
        <v>0</v>
      </c>
      <c r="X18" s="470">
        <v>0</v>
      </c>
      <c r="Y18" s="470">
        <v>0</v>
      </c>
      <c r="Z18" s="470">
        <v>0</v>
      </c>
      <c r="AA18" s="470">
        <v>0</v>
      </c>
      <c r="AB18" s="470">
        <v>0</v>
      </c>
      <c r="AC18" s="470">
        <v>0</v>
      </c>
      <c r="AD18" s="467"/>
      <c r="AE18" s="463">
        <f t="shared" si="1"/>
        <v>0</v>
      </c>
    </row>
    <row r="19" spans="1:33" x14ac:dyDescent="0.3">
      <c r="B19" s="459" t="s">
        <v>1446</v>
      </c>
      <c r="C19" s="472">
        <f>-BG!D28</f>
        <v>-48088353101</v>
      </c>
      <c r="D19" s="461"/>
      <c r="E19" s="462"/>
      <c r="F19" s="469"/>
      <c r="G19" s="476"/>
      <c r="H19" s="469"/>
      <c r="I19" s="462"/>
      <c r="J19" s="473"/>
      <c r="K19" s="434"/>
      <c r="L19" s="463">
        <f t="shared" si="2"/>
        <v>-48088353101</v>
      </c>
      <c r="M19" s="460">
        <f>-BG!F28</f>
        <v>-14147214357</v>
      </c>
      <c r="N19" s="464">
        <f t="shared" si="0"/>
        <v>-33941138744</v>
      </c>
      <c r="P19" s="470">
        <v>0</v>
      </c>
      <c r="Q19" s="470">
        <v>0</v>
      </c>
      <c r="R19" s="470">
        <v>0</v>
      </c>
      <c r="S19" s="470">
        <v>0</v>
      </c>
      <c r="T19" s="470">
        <v>0</v>
      </c>
      <c r="U19" s="470">
        <v>0</v>
      </c>
      <c r="V19" s="470">
        <v>0</v>
      </c>
      <c r="W19" s="470">
        <v>0</v>
      </c>
      <c r="X19" s="470">
        <v>0</v>
      </c>
      <c r="Y19" s="470">
        <f>-N19</f>
        <v>33941138744</v>
      </c>
      <c r="Z19" s="470">
        <v>0</v>
      </c>
      <c r="AA19" s="470">
        <v>0</v>
      </c>
      <c r="AB19" s="470">
        <v>0</v>
      </c>
      <c r="AC19" s="470">
        <v>0</v>
      </c>
      <c r="AD19" s="467"/>
      <c r="AE19" s="463">
        <f t="shared" si="1"/>
        <v>0</v>
      </c>
      <c r="AG19" s="434"/>
    </row>
    <row r="20" spans="1:33" x14ac:dyDescent="0.3">
      <c r="B20" s="459" t="s">
        <v>79</v>
      </c>
      <c r="C20" s="472">
        <v>0</v>
      </c>
      <c r="D20" s="461"/>
      <c r="E20" s="462"/>
      <c r="F20" s="469"/>
      <c r="G20" s="476"/>
      <c r="H20" s="469"/>
      <c r="I20" s="462"/>
      <c r="J20" s="473"/>
      <c r="K20" s="434"/>
      <c r="L20" s="463">
        <f t="shared" si="2"/>
        <v>0</v>
      </c>
      <c r="M20" s="460">
        <v>0</v>
      </c>
      <c r="N20" s="464">
        <f t="shared" si="0"/>
        <v>0</v>
      </c>
      <c r="P20" s="470">
        <v>0</v>
      </c>
      <c r="Q20" s="470">
        <v>0</v>
      </c>
      <c r="R20" s="470">
        <v>0</v>
      </c>
      <c r="S20" s="470">
        <f>-N20</f>
        <v>0</v>
      </c>
      <c r="T20" s="470">
        <v>0</v>
      </c>
      <c r="U20" s="470">
        <v>0</v>
      </c>
      <c r="V20" s="470">
        <v>0</v>
      </c>
      <c r="W20" s="470">
        <v>0</v>
      </c>
      <c r="X20" s="470">
        <v>0</v>
      </c>
      <c r="Y20" s="470">
        <v>0</v>
      </c>
      <c r="Z20" s="470">
        <v>0</v>
      </c>
      <c r="AA20" s="470">
        <v>0</v>
      </c>
      <c r="AB20" s="470">
        <v>0</v>
      </c>
      <c r="AC20" s="470">
        <v>0</v>
      </c>
      <c r="AD20" s="467"/>
      <c r="AE20" s="463">
        <f t="shared" si="1"/>
        <v>0</v>
      </c>
      <c r="AG20" s="434"/>
    </row>
    <row r="21" spans="1:33" x14ac:dyDescent="0.3">
      <c r="B21" s="475" t="s">
        <v>81</v>
      </c>
      <c r="C21" s="472">
        <v>0</v>
      </c>
      <c r="D21" s="461"/>
      <c r="E21" s="462"/>
      <c r="F21" s="469"/>
      <c r="G21" s="469"/>
      <c r="H21" s="476">
        <v>0</v>
      </c>
      <c r="I21" s="462"/>
      <c r="J21" s="473"/>
      <c r="K21" s="434"/>
      <c r="L21" s="463">
        <f t="shared" si="2"/>
        <v>0</v>
      </c>
      <c r="M21" s="460">
        <v>0</v>
      </c>
      <c r="N21" s="464">
        <f t="shared" si="0"/>
        <v>0</v>
      </c>
      <c r="P21" s="470">
        <v>0</v>
      </c>
      <c r="Q21" s="470">
        <v>0</v>
      </c>
      <c r="R21" s="470">
        <v>0</v>
      </c>
      <c r="S21" s="470">
        <v>0</v>
      </c>
      <c r="T21" s="470">
        <v>0</v>
      </c>
      <c r="U21" s="470">
        <f>-N21</f>
        <v>0</v>
      </c>
      <c r="V21" s="470">
        <v>0</v>
      </c>
      <c r="W21" s="470">
        <v>0</v>
      </c>
      <c r="X21" s="470">
        <v>0</v>
      </c>
      <c r="Y21" s="470">
        <v>0</v>
      </c>
      <c r="Z21" s="470">
        <v>0</v>
      </c>
      <c r="AA21" s="470">
        <v>0</v>
      </c>
      <c r="AB21" s="470">
        <v>0</v>
      </c>
      <c r="AC21" s="470">
        <v>0</v>
      </c>
      <c r="AD21" s="463"/>
      <c r="AE21" s="463">
        <f t="shared" si="1"/>
        <v>0</v>
      </c>
      <c r="AG21" s="434"/>
    </row>
    <row r="22" spans="1:33" x14ac:dyDescent="0.3">
      <c r="B22" s="475" t="s">
        <v>82</v>
      </c>
      <c r="C22" s="472">
        <f>-BG!D29</f>
        <v>-4129875469.5999756</v>
      </c>
      <c r="D22" s="461"/>
      <c r="E22" s="462"/>
      <c r="F22" s="469"/>
      <c r="G22" s="469"/>
      <c r="H22" s="476">
        <f>-H44</f>
        <v>346910809</v>
      </c>
      <c r="I22" s="462"/>
      <c r="J22" s="473"/>
      <c r="K22" s="434"/>
      <c r="L22" s="463">
        <f t="shared" si="2"/>
        <v>-3782964660.5999756</v>
      </c>
      <c r="M22" s="460">
        <f>-BG!F29</f>
        <v>-2226252415</v>
      </c>
      <c r="N22" s="464">
        <f t="shared" si="0"/>
        <v>-1556712245.5999756</v>
      </c>
      <c r="P22" s="470">
        <v>0</v>
      </c>
      <c r="Q22" s="470">
        <v>0</v>
      </c>
      <c r="R22" s="470">
        <v>0</v>
      </c>
      <c r="S22" s="470">
        <f>-N22</f>
        <v>1556712245.5999756</v>
      </c>
      <c r="T22" s="470">
        <v>0</v>
      </c>
      <c r="U22" s="470">
        <v>0</v>
      </c>
      <c r="V22" s="470">
        <v>0</v>
      </c>
      <c r="W22" s="470">
        <v>0</v>
      </c>
      <c r="X22" s="470">
        <v>0</v>
      </c>
      <c r="Y22" s="470">
        <v>0</v>
      </c>
      <c r="Z22" s="470">
        <v>0</v>
      </c>
      <c r="AA22" s="470">
        <v>0</v>
      </c>
      <c r="AB22" s="470">
        <v>0</v>
      </c>
      <c r="AC22" s="470">
        <v>0</v>
      </c>
      <c r="AD22" s="463"/>
      <c r="AE22" s="463">
        <f t="shared" si="1"/>
        <v>0</v>
      </c>
      <c r="AG22" s="434"/>
    </row>
    <row r="23" spans="1:33" x14ac:dyDescent="0.3">
      <c r="B23" s="475" t="s">
        <v>83</v>
      </c>
      <c r="C23" s="472">
        <v>0</v>
      </c>
      <c r="D23" s="461"/>
      <c r="E23" s="462"/>
      <c r="F23" s="469"/>
      <c r="G23" s="469"/>
      <c r="H23" s="476"/>
      <c r="I23" s="462"/>
      <c r="J23" s="473"/>
      <c r="K23" s="434"/>
      <c r="L23" s="463">
        <f t="shared" si="2"/>
        <v>0</v>
      </c>
      <c r="M23" s="460">
        <v>0</v>
      </c>
      <c r="N23" s="464">
        <f t="shared" si="0"/>
        <v>0</v>
      </c>
      <c r="P23" s="470">
        <v>0</v>
      </c>
      <c r="Q23" s="470">
        <v>0</v>
      </c>
      <c r="R23" s="470">
        <v>0</v>
      </c>
      <c r="S23" s="470">
        <f>-N23</f>
        <v>0</v>
      </c>
      <c r="T23" s="470">
        <v>0</v>
      </c>
      <c r="U23" s="470">
        <v>0</v>
      </c>
      <c r="V23" s="470">
        <v>0</v>
      </c>
      <c r="W23" s="470">
        <v>0</v>
      </c>
      <c r="X23" s="470">
        <v>0</v>
      </c>
      <c r="Y23" s="470">
        <v>0</v>
      </c>
      <c r="Z23" s="470">
        <v>0</v>
      </c>
      <c r="AA23" s="470">
        <v>0</v>
      </c>
      <c r="AB23" s="470">
        <v>0</v>
      </c>
      <c r="AC23" s="470">
        <v>0</v>
      </c>
      <c r="AD23" s="463"/>
      <c r="AE23" s="463">
        <f t="shared" si="1"/>
        <v>0</v>
      </c>
      <c r="AG23" s="434"/>
    </row>
    <row r="24" spans="1:33" x14ac:dyDescent="0.3">
      <c r="B24" s="459" t="s">
        <v>1447</v>
      </c>
      <c r="C24" s="472">
        <f>-BG!D33</f>
        <v>-148728985928.99786</v>
      </c>
      <c r="D24" s="461"/>
      <c r="E24" s="462"/>
      <c r="F24" s="469"/>
      <c r="G24" s="469"/>
      <c r="H24" s="476"/>
      <c r="I24" s="462"/>
      <c r="J24" s="473"/>
      <c r="K24" s="434"/>
      <c r="L24" s="463">
        <f t="shared" si="2"/>
        <v>-148728985928.99786</v>
      </c>
      <c r="M24" s="460">
        <f>-BG!F33</f>
        <v>-97178791077</v>
      </c>
      <c r="N24" s="464">
        <f t="shared" si="0"/>
        <v>-51550194851.997864</v>
      </c>
      <c r="P24" s="470">
        <v>0</v>
      </c>
      <c r="Q24" s="470">
        <v>0</v>
      </c>
      <c r="R24" s="470">
        <v>0</v>
      </c>
      <c r="S24" s="470">
        <v>0</v>
      </c>
      <c r="T24" s="470">
        <v>0</v>
      </c>
      <c r="U24" s="470">
        <v>0</v>
      </c>
      <c r="V24" s="470">
        <v>0</v>
      </c>
      <c r="W24" s="470">
        <v>0</v>
      </c>
      <c r="X24" s="470">
        <v>0</v>
      </c>
      <c r="Y24" s="470">
        <f>-N24</f>
        <v>51550194851.997864</v>
      </c>
      <c r="Z24" s="470">
        <v>0</v>
      </c>
      <c r="AA24" s="470">
        <v>0</v>
      </c>
      <c r="AB24" s="470">
        <v>0</v>
      </c>
      <c r="AC24" s="470">
        <v>0</v>
      </c>
      <c r="AD24" s="463"/>
      <c r="AE24" s="463">
        <f t="shared" si="1"/>
        <v>0</v>
      </c>
      <c r="AG24" s="434"/>
    </row>
    <row r="25" spans="1:33" x14ac:dyDescent="0.3">
      <c r="B25" s="459" t="s">
        <v>1448</v>
      </c>
      <c r="C25" s="472">
        <f>-BG!D34</f>
        <v>-97794504</v>
      </c>
      <c r="D25" s="461"/>
      <c r="E25" s="462"/>
      <c r="F25" s="469"/>
      <c r="G25" s="469"/>
      <c r="H25" s="476"/>
      <c r="I25" s="462"/>
      <c r="J25" s="473"/>
      <c r="K25" s="434"/>
      <c r="L25" s="463">
        <f t="shared" si="2"/>
        <v>-97794504</v>
      </c>
      <c r="M25" s="460">
        <f>-BG!F34</f>
        <v>-97794504</v>
      </c>
      <c r="N25" s="464">
        <f t="shared" si="0"/>
        <v>0</v>
      </c>
      <c r="P25" s="470">
        <v>0</v>
      </c>
      <c r="Q25" s="470">
        <v>0</v>
      </c>
      <c r="R25" s="470">
        <v>0</v>
      </c>
      <c r="S25" s="470">
        <f>-N25</f>
        <v>0</v>
      </c>
      <c r="T25" s="470">
        <v>0</v>
      </c>
      <c r="U25" s="470">
        <v>0</v>
      </c>
      <c r="V25" s="470">
        <v>0</v>
      </c>
      <c r="W25" s="470">
        <v>0</v>
      </c>
      <c r="X25" s="470">
        <v>0</v>
      </c>
      <c r="Y25" s="470">
        <v>0</v>
      </c>
      <c r="Z25" s="470">
        <v>0</v>
      </c>
      <c r="AA25" s="470">
        <v>0</v>
      </c>
      <c r="AB25" s="470">
        <v>0</v>
      </c>
      <c r="AC25" s="470">
        <v>0</v>
      </c>
      <c r="AD25" s="463"/>
      <c r="AE25" s="463">
        <f t="shared" si="1"/>
        <v>0</v>
      </c>
      <c r="AG25" s="434"/>
    </row>
    <row r="26" spans="1:33" x14ac:dyDescent="0.3">
      <c r="B26" s="474" t="s">
        <v>1449</v>
      </c>
      <c r="C26" s="464"/>
      <c r="D26" s="461"/>
      <c r="E26" s="462"/>
      <c r="F26" s="469"/>
      <c r="G26" s="469"/>
      <c r="H26" s="476"/>
      <c r="I26" s="462"/>
      <c r="J26" s="473"/>
      <c r="L26" s="463">
        <f t="shared" si="2"/>
        <v>0</v>
      </c>
      <c r="M26" s="460">
        <v>0</v>
      </c>
      <c r="N26" s="464">
        <f t="shared" si="0"/>
        <v>0</v>
      </c>
      <c r="P26" s="470">
        <v>0</v>
      </c>
      <c r="Q26" s="470">
        <v>0</v>
      </c>
      <c r="R26" s="470">
        <v>0</v>
      </c>
      <c r="S26" s="470">
        <v>0</v>
      </c>
      <c r="T26" s="470">
        <v>0</v>
      </c>
      <c r="U26" s="470">
        <v>0</v>
      </c>
      <c r="V26" s="470">
        <v>0</v>
      </c>
      <c r="W26" s="470">
        <v>0</v>
      </c>
      <c r="X26" s="470">
        <v>0</v>
      </c>
      <c r="Y26" s="470">
        <v>0</v>
      </c>
      <c r="Z26" s="470">
        <v>0</v>
      </c>
      <c r="AA26" s="470">
        <v>0</v>
      </c>
      <c r="AB26" s="470">
        <v>0</v>
      </c>
      <c r="AC26" s="470">
        <v>0</v>
      </c>
      <c r="AD26" s="467"/>
      <c r="AE26" s="463">
        <f t="shared" si="1"/>
        <v>0</v>
      </c>
    </row>
    <row r="27" spans="1:33" x14ac:dyDescent="0.3">
      <c r="A27" s="477"/>
      <c r="B27" s="475" t="s">
        <v>84</v>
      </c>
      <c r="C27" s="472">
        <f>-BG!D40</f>
        <v>-192173016224</v>
      </c>
      <c r="D27" s="461"/>
      <c r="E27" s="462"/>
      <c r="F27" s="469"/>
      <c r="G27" s="469"/>
      <c r="H27" s="476"/>
      <c r="I27" s="462"/>
      <c r="J27" s="473">
        <f>-SUM(J29:J32)</f>
        <v>0</v>
      </c>
      <c r="L27" s="463">
        <f t="shared" si="2"/>
        <v>-192173016224</v>
      </c>
      <c r="M27" s="460">
        <f>-BG!F40</f>
        <v>-192173016224</v>
      </c>
      <c r="N27" s="464">
        <f t="shared" si="0"/>
        <v>0</v>
      </c>
      <c r="P27" s="470">
        <v>0</v>
      </c>
      <c r="Q27" s="470">
        <v>0</v>
      </c>
      <c r="R27" s="470">
        <v>0</v>
      </c>
      <c r="S27" s="470">
        <v>0</v>
      </c>
      <c r="T27" s="470">
        <v>0</v>
      </c>
      <c r="U27" s="470">
        <v>0</v>
      </c>
      <c r="V27" s="470">
        <v>0</v>
      </c>
      <c r="W27" s="470">
        <v>0</v>
      </c>
      <c r="X27" s="470">
        <v>0</v>
      </c>
      <c r="Y27" s="470">
        <v>0</v>
      </c>
      <c r="Z27" s="470">
        <v>0</v>
      </c>
      <c r="AA27" s="470">
        <v>0</v>
      </c>
      <c r="AB27" s="470">
        <v>0</v>
      </c>
      <c r="AC27" s="470">
        <f>-N27</f>
        <v>0</v>
      </c>
      <c r="AD27" s="467"/>
      <c r="AE27" s="463">
        <f t="shared" si="1"/>
        <v>0</v>
      </c>
      <c r="AF27" s="435"/>
    </row>
    <row r="28" spans="1:33" x14ac:dyDescent="0.3">
      <c r="A28" s="477"/>
      <c r="B28" s="475" t="s">
        <v>86</v>
      </c>
      <c r="C28" s="472">
        <v>0</v>
      </c>
      <c r="D28" s="461"/>
      <c r="E28" s="462"/>
      <c r="F28" s="469">
        <f>-C28</f>
        <v>0</v>
      </c>
      <c r="G28" s="469"/>
      <c r="H28" s="476"/>
      <c r="I28" s="462"/>
      <c r="J28" s="473"/>
      <c r="L28" s="463">
        <f t="shared" si="2"/>
        <v>0</v>
      </c>
      <c r="M28" s="460">
        <v>0</v>
      </c>
      <c r="N28" s="464">
        <f t="shared" si="0"/>
        <v>0</v>
      </c>
      <c r="P28" s="470">
        <v>0</v>
      </c>
      <c r="Q28" s="470">
        <v>0</v>
      </c>
      <c r="R28" s="470">
        <v>0</v>
      </c>
      <c r="S28" s="470">
        <v>0</v>
      </c>
      <c r="T28" s="470">
        <v>0</v>
      </c>
      <c r="U28" s="470">
        <v>0</v>
      </c>
      <c r="V28" s="470">
        <v>0</v>
      </c>
      <c r="W28" s="470">
        <v>0</v>
      </c>
      <c r="X28" s="470">
        <v>0</v>
      </c>
      <c r="Y28" s="470">
        <v>0</v>
      </c>
      <c r="Z28" s="470">
        <v>0</v>
      </c>
      <c r="AA28" s="470">
        <v>0</v>
      </c>
      <c r="AB28" s="470">
        <v>0</v>
      </c>
      <c r="AC28" s="470">
        <f t="shared" ref="AC28:AC32" si="3">-N28</f>
        <v>0</v>
      </c>
      <c r="AD28" s="467"/>
      <c r="AE28" s="463">
        <f t="shared" si="1"/>
        <v>0</v>
      </c>
    </row>
    <row r="29" spans="1:33" x14ac:dyDescent="0.3">
      <c r="A29" s="477"/>
      <c r="B29" s="475" t="s">
        <v>88</v>
      </c>
      <c r="C29" s="472">
        <f>-BG!D44</f>
        <v>-2720132014</v>
      </c>
      <c r="D29" s="461"/>
      <c r="E29" s="462"/>
      <c r="F29" s="469">
        <v>0</v>
      </c>
      <c r="G29" s="469"/>
      <c r="H29" s="476"/>
      <c r="I29" s="462"/>
      <c r="J29" s="473"/>
      <c r="L29" s="463">
        <f t="shared" si="2"/>
        <v>-2720132014</v>
      </c>
      <c r="M29" s="460">
        <f>-BG!F44</f>
        <v>-2720132014</v>
      </c>
      <c r="N29" s="478">
        <f t="shared" si="0"/>
        <v>0</v>
      </c>
      <c r="P29" s="470">
        <v>0</v>
      </c>
      <c r="Q29" s="470">
        <v>0</v>
      </c>
      <c r="R29" s="470">
        <v>0</v>
      </c>
      <c r="S29" s="470">
        <v>0</v>
      </c>
      <c r="T29" s="470">
        <v>0</v>
      </c>
      <c r="U29" s="470">
        <v>0</v>
      </c>
      <c r="V29" s="470">
        <v>0</v>
      </c>
      <c r="W29" s="470">
        <v>0</v>
      </c>
      <c r="X29" s="470">
        <v>0</v>
      </c>
      <c r="Y29" s="470">
        <v>0</v>
      </c>
      <c r="Z29" s="470">
        <v>0</v>
      </c>
      <c r="AA29" s="470">
        <v>0</v>
      </c>
      <c r="AB29" s="470">
        <v>0</v>
      </c>
      <c r="AC29" s="470">
        <f t="shared" si="3"/>
        <v>0</v>
      </c>
      <c r="AD29" s="467"/>
      <c r="AE29" s="463">
        <f t="shared" si="1"/>
        <v>0</v>
      </c>
      <c r="AF29" s="479"/>
      <c r="AG29" s="434"/>
    </row>
    <row r="30" spans="1:33" x14ac:dyDescent="0.3">
      <c r="A30" s="477"/>
      <c r="B30" s="475" t="s">
        <v>1450</v>
      </c>
      <c r="C30" s="472">
        <v>0</v>
      </c>
      <c r="D30" s="461"/>
      <c r="E30" s="462"/>
      <c r="F30" s="469"/>
      <c r="G30" s="469"/>
      <c r="H30" s="476"/>
      <c r="I30" s="462"/>
      <c r="J30" s="473"/>
      <c r="L30" s="463">
        <f t="shared" si="2"/>
        <v>0</v>
      </c>
      <c r="M30" s="460">
        <v>0</v>
      </c>
      <c r="N30" s="464">
        <f t="shared" si="0"/>
        <v>0</v>
      </c>
      <c r="P30" s="470">
        <v>0</v>
      </c>
      <c r="Q30" s="470">
        <v>0</v>
      </c>
      <c r="R30" s="470">
        <v>0</v>
      </c>
      <c r="S30" s="470">
        <v>0</v>
      </c>
      <c r="T30" s="470">
        <v>0</v>
      </c>
      <c r="U30" s="470">
        <v>0</v>
      </c>
      <c r="V30" s="470">
        <v>0</v>
      </c>
      <c r="W30" s="470">
        <v>0</v>
      </c>
      <c r="X30" s="470">
        <v>0</v>
      </c>
      <c r="Y30" s="470">
        <v>0</v>
      </c>
      <c r="Z30" s="470">
        <v>0</v>
      </c>
      <c r="AA30" s="470">
        <v>0</v>
      </c>
      <c r="AB30" s="470">
        <v>0</v>
      </c>
      <c r="AC30" s="470">
        <f t="shared" si="3"/>
        <v>0</v>
      </c>
      <c r="AD30" s="467"/>
      <c r="AE30" s="463">
        <f t="shared" si="1"/>
        <v>0</v>
      </c>
      <c r="AF30" s="479"/>
      <c r="AG30" s="434"/>
    </row>
    <row r="31" spans="1:33" x14ac:dyDescent="0.3">
      <c r="A31" s="477"/>
      <c r="B31" s="475" t="s">
        <v>1451</v>
      </c>
      <c r="C31" s="472">
        <f>-BG!D43</f>
        <v>-11423641075</v>
      </c>
      <c r="D31" s="461"/>
      <c r="E31" s="462"/>
      <c r="F31" s="469"/>
      <c r="G31" s="469"/>
      <c r="H31" s="476"/>
      <c r="I31" s="462"/>
      <c r="J31" s="473"/>
      <c r="L31" s="463">
        <f t="shared" si="2"/>
        <v>-11423641075</v>
      </c>
      <c r="M31" s="460">
        <f>-BG!F43</f>
        <v>-11423641075</v>
      </c>
      <c r="N31" s="464">
        <f t="shared" si="0"/>
        <v>0</v>
      </c>
      <c r="P31" s="470">
        <v>0</v>
      </c>
      <c r="Q31" s="470">
        <v>0</v>
      </c>
      <c r="R31" s="470">
        <v>0</v>
      </c>
      <c r="S31" s="470">
        <v>0</v>
      </c>
      <c r="T31" s="470">
        <v>0</v>
      </c>
      <c r="U31" s="470">
        <v>0</v>
      </c>
      <c r="V31" s="470">
        <v>0</v>
      </c>
      <c r="W31" s="470">
        <v>0</v>
      </c>
      <c r="X31" s="470">
        <v>0</v>
      </c>
      <c r="Y31" s="470">
        <v>0</v>
      </c>
      <c r="Z31" s="470">
        <v>0</v>
      </c>
      <c r="AA31" s="470">
        <v>0</v>
      </c>
      <c r="AB31" s="470">
        <v>0</v>
      </c>
      <c r="AC31" s="470">
        <f t="shared" si="3"/>
        <v>0</v>
      </c>
      <c r="AD31" s="467"/>
      <c r="AE31" s="463">
        <f t="shared" si="1"/>
        <v>0</v>
      </c>
    </row>
    <row r="32" spans="1:33" x14ac:dyDescent="0.3">
      <c r="A32" s="477"/>
      <c r="B32" s="475" t="s">
        <v>1452</v>
      </c>
      <c r="C32" s="472">
        <v>0</v>
      </c>
      <c r="D32" s="461">
        <v>0</v>
      </c>
      <c r="E32" s="462"/>
      <c r="F32" s="469"/>
      <c r="G32" s="469"/>
      <c r="H32" s="476"/>
      <c r="I32" s="462"/>
      <c r="J32" s="473"/>
      <c r="L32" s="463">
        <f t="shared" si="2"/>
        <v>0</v>
      </c>
      <c r="M32" s="460">
        <v>0</v>
      </c>
      <c r="N32" s="464">
        <f t="shared" si="0"/>
        <v>0</v>
      </c>
      <c r="O32" s="479"/>
      <c r="P32" s="470">
        <v>0</v>
      </c>
      <c r="Q32" s="470">
        <v>0</v>
      </c>
      <c r="R32" s="470">
        <v>0</v>
      </c>
      <c r="S32" s="470">
        <v>0</v>
      </c>
      <c r="T32" s="470">
        <v>0</v>
      </c>
      <c r="U32" s="470">
        <v>0</v>
      </c>
      <c r="V32" s="470">
        <v>0</v>
      </c>
      <c r="W32" s="470">
        <v>0</v>
      </c>
      <c r="X32" s="470">
        <v>0</v>
      </c>
      <c r="Y32" s="470">
        <v>0</v>
      </c>
      <c r="Z32" s="470">
        <v>0</v>
      </c>
      <c r="AA32" s="470">
        <v>0</v>
      </c>
      <c r="AB32" s="470">
        <v>0</v>
      </c>
      <c r="AC32" s="470">
        <f t="shared" si="3"/>
        <v>0</v>
      </c>
      <c r="AD32" s="467"/>
      <c r="AE32" s="463">
        <f t="shared" si="1"/>
        <v>0</v>
      </c>
    </row>
    <row r="33" spans="1:32" x14ac:dyDescent="0.3">
      <c r="A33" s="477"/>
      <c r="B33" s="475" t="s">
        <v>91</v>
      </c>
      <c r="C33" s="472">
        <f>-BG!D45</f>
        <v>-23482533132</v>
      </c>
      <c r="D33" s="461">
        <f>-D45</f>
        <v>0</v>
      </c>
      <c r="E33" s="462"/>
      <c r="F33" s="469">
        <v>0</v>
      </c>
      <c r="G33" s="469"/>
      <c r="H33" s="476"/>
      <c r="I33" s="462"/>
      <c r="J33" s="473"/>
      <c r="L33" s="463">
        <f t="shared" si="2"/>
        <v>-23482533132</v>
      </c>
      <c r="M33" s="460">
        <f>-BG!F45-BG!F46</f>
        <v>-23482549512</v>
      </c>
      <c r="N33" s="464">
        <f t="shared" si="0"/>
        <v>16380</v>
      </c>
      <c r="O33" s="479"/>
      <c r="P33" s="470">
        <f>-N33</f>
        <v>-16380</v>
      </c>
      <c r="Q33" s="470">
        <v>0</v>
      </c>
      <c r="R33" s="470">
        <v>0</v>
      </c>
      <c r="S33" s="470">
        <v>0</v>
      </c>
      <c r="T33" s="470">
        <v>0</v>
      </c>
      <c r="U33" s="470">
        <v>0</v>
      </c>
      <c r="V33" s="470">
        <v>0</v>
      </c>
      <c r="W33" s="470">
        <v>0</v>
      </c>
      <c r="X33" s="470">
        <v>0</v>
      </c>
      <c r="Y33" s="470">
        <v>0</v>
      </c>
      <c r="Z33" s="470">
        <v>0</v>
      </c>
      <c r="AA33" s="470">
        <v>0</v>
      </c>
      <c r="AB33" s="470">
        <v>0</v>
      </c>
      <c r="AC33" s="470">
        <v>0</v>
      </c>
      <c r="AD33" s="467"/>
      <c r="AE33" s="463">
        <f t="shared" si="1"/>
        <v>0</v>
      </c>
    </row>
    <row r="34" spans="1:32" x14ac:dyDescent="0.3">
      <c r="A34" s="477"/>
      <c r="B34" s="475"/>
      <c r="C34" s="472"/>
      <c r="D34" s="461"/>
      <c r="E34" s="462"/>
      <c r="F34" s="469"/>
      <c r="G34" s="469"/>
      <c r="H34" s="476"/>
      <c r="I34" s="462"/>
      <c r="J34" s="473"/>
      <c r="L34" s="463">
        <f t="shared" si="2"/>
        <v>0</v>
      </c>
      <c r="M34" s="460"/>
      <c r="N34" s="464"/>
      <c r="O34" s="479"/>
      <c r="P34" s="470">
        <v>0</v>
      </c>
      <c r="Q34" s="470">
        <v>0</v>
      </c>
      <c r="R34" s="470">
        <v>0</v>
      </c>
      <c r="S34" s="470">
        <v>0</v>
      </c>
      <c r="T34" s="470">
        <v>0</v>
      </c>
      <c r="U34" s="470">
        <v>0</v>
      </c>
      <c r="V34" s="470">
        <v>0</v>
      </c>
      <c r="W34" s="470">
        <v>0</v>
      </c>
      <c r="X34" s="470">
        <v>0</v>
      </c>
      <c r="Y34" s="470">
        <v>0</v>
      </c>
      <c r="Z34" s="470">
        <v>0</v>
      </c>
      <c r="AA34" s="470">
        <v>0</v>
      </c>
      <c r="AB34" s="470">
        <v>0</v>
      </c>
      <c r="AC34" s="470">
        <v>0</v>
      </c>
      <c r="AD34" s="467"/>
      <c r="AE34" s="463"/>
    </row>
    <row r="35" spans="1:32" x14ac:dyDescent="0.3">
      <c r="B35" s="474" t="s">
        <v>1453</v>
      </c>
      <c r="C35" s="480"/>
      <c r="D35" s="462"/>
      <c r="E35" s="462"/>
      <c r="F35" s="469"/>
      <c r="G35" s="469"/>
      <c r="H35" s="476"/>
      <c r="I35" s="462"/>
      <c r="J35" s="473"/>
      <c r="L35" s="463">
        <f t="shared" si="2"/>
        <v>0</v>
      </c>
      <c r="M35" s="460"/>
      <c r="N35" s="464">
        <f t="shared" si="0"/>
        <v>0</v>
      </c>
      <c r="O35" s="434"/>
      <c r="P35" s="470">
        <v>0</v>
      </c>
      <c r="Q35" s="470">
        <v>0</v>
      </c>
      <c r="R35" s="470">
        <v>0</v>
      </c>
      <c r="S35" s="470">
        <v>0</v>
      </c>
      <c r="T35" s="470">
        <v>0</v>
      </c>
      <c r="U35" s="470">
        <v>0</v>
      </c>
      <c r="V35" s="470">
        <v>0</v>
      </c>
      <c r="W35" s="470">
        <v>0</v>
      </c>
      <c r="X35" s="470">
        <v>0</v>
      </c>
      <c r="Y35" s="470">
        <v>0</v>
      </c>
      <c r="Z35" s="470">
        <v>0</v>
      </c>
      <c r="AA35" s="470">
        <v>0</v>
      </c>
      <c r="AB35" s="470">
        <v>0</v>
      </c>
      <c r="AC35" s="470">
        <v>0</v>
      </c>
      <c r="AD35" s="467"/>
      <c r="AE35" s="463">
        <f t="shared" si="1"/>
        <v>0</v>
      </c>
    </row>
    <row r="36" spans="1:32" x14ac:dyDescent="0.3">
      <c r="B36" s="481" t="s">
        <v>95</v>
      </c>
      <c r="C36" s="472">
        <f>-ER!C10</f>
        <v>-155386942077</v>
      </c>
      <c r="D36" s="462"/>
      <c r="E36" s="462"/>
      <c r="F36" s="469"/>
      <c r="G36" s="469"/>
      <c r="H36" s="476"/>
      <c r="I36" s="462"/>
      <c r="J36" s="473"/>
      <c r="L36" s="463">
        <f t="shared" si="2"/>
        <v>-155386942077</v>
      </c>
      <c r="M36" s="482"/>
      <c r="N36" s="464">
        <f t="shared" si="0"/>
        <v>-155386942077</v>
      </c>
      <c r="P36" s="470">
        <f>-N36</f>
        <v>155386942077</v>
      </c>
      <c r="Q36" s="470">
        <v>0</v>
      </c>
      <c r="R36" s="470">
        <v>0</v>
      </c>
      <c r="S36" s="470">
        <v>0</v>
      </c>
      <c r="T36" s="470">
        <v>0</v>
      </c>
      <c r="U36" s="470">
        <v>0</v>
      </c>
      <c r="V36" s="470">
        <v>0</v>
      </c>
      <c r="W36" s="470">
        <v>0</v>
      </c>
      <c r="X36" s="470">
        <v>0</v>
      </c>
      <c r="Y36" s="470">
        <v>0</v>
      </c>
      <c r="Z36" s="470">
        <v>0</v>
      </c>
      <c r="AA36" s="470">
        <v>0</v>
      </c>
      <c r="AB36" s="470">
        <v>0</v>
      </c>
      <c r="AC36" s="470">
        <v>0</v>
      </c>
      <c r="AD36" s="467"/>
      <c r="AE36" s="463">
        <f t="shared" si="1"/>
        <v>0</v>
      </c>
    </row>
    <row r="37" spans="1:32" x14ac:dyDescent="0.3">
      <c r="B37" s="481" t="s">
        <v>97</v>
      </c>
      <c r="C37" s="472">
        <f>-ER!C11</f>
        <v>128591385220</v>
      </c>
      <c r="D37" s="462"/>
      <c r="E37" s="462"/>
      <c r="F37" s="469"/>
      <c r="G37" s="469">
        <f>-'Nota 15'!B9-'Nota 17'!B5</f>
        <v>-6423833664</v>
      </c>
      <c r="H37" s="476"/>
      <c r="I37" s="462"/>
      <c r="J37" s="473"/>
      <c r="L37" s="463">
        <f t="shared" si="2"/>
        <v>122167551556</v>
      </c>
      <c r="M37" s="482"/>
      <c r="N37" s="464">
        <f t="shared" si="0"/>
        <v>122167551556</v>
      </c>
      <c r="P37" s="470">
        <v>0</v>
      </c>
      <c r="Q37" s="470">
        <f>-N37</f>
        <v>-122167551556</v>
      </c>
      <c r="R37" s="470">
        <v>0</v>
      </c>
      <c r="S37" s="470">
        <v>0</v>
      </c>
      <c r="T37" s="470">
        <v>0</v>
      </c>
      <c r="U37" s="470">
        <v>0</v>
      </c>
      <c r="V37" s="470">
        <v>0</v>
      </c>
      <c r="W37" s="470">
        <v>0</v>
      </c>
      <c r="X37" s="470">
        <v>0</v>
      </c>
      <c r="Y37" s="470">
        <v>0</v>
      </c>
      <c r="Z37" s="470">
        <v>0</v>
      </c>
      <c r="AA37" s="470">
        <v>0</v>
      </c>
      <c r="AB37" s="470">
        <v>0</v>
      </c>
      <c r="AC37" s="470">
        <v>0</v>
      </c>
      <c r="AD37" s="467"/>
      <c r="AE37" s="463">
        <f t="shared" si="1"/>
        <v>0</v>
      </c>
    </row>
    <row r="38" spans="1:32" x14ac:dyDescent="0.3">
      <c r="B38" s="481" t="s">
        <v>1454</v>
      </c>
      <c r="C38" s="472">
        <f>-ER!C15</f>
        <v>5773276816</v>
      </c>
      <c r="D38" s="462"/>
      <c r="E38" s="462"/>
      <c r="F38" s="469"/>
      <c r="G38" s="469">
        <v>0</v>
      </c>
      <c r="H38" s="476"/>
      <c r="I38" s="462"/>
      <c r="J38" s="473"/>
      <c r="L38" s="463">
        <f t="shared" si="2"/>
        <v>5773276816</v>
      </c>
      <c r="M38" s="482"/>
      <c r="N38" s="464">
        <f t="shared" si="0"/>
        <v>5773276816</v>
      </c>
      <c r="P38" s="470">
        <v>0</v>
      </c>
      <c r="Q38" s="470">
        <v>0</v>
      </c>
      <c r="R38" s="470">
        <v>0</v>
      </c>
      <c r="S38" s="470">
        <f>-N38</f>
        <v>-5773276816</v>
      </c>
      <c r="T38" s="470">
        <v>0</v>
      </c>
      <c r="U38" s="470">
        <v>0</v>
      </c>
      <c r="V38" s="470">
        <v>0</v>
      </c>
      <c r="W38" s="470">
        <v>0</v>
      </c>
      <c r="X38" s="470">
        <v>0</v>
      </c>
      <c r="Y38" s="470">
        <v>0</v>
      </c>
      <c r="Z38" s="470">
        <v>0</v>
      </c>
      <c r="AA38" s="470">
        <v>0</v>
      </c>
      <c r="AB38" s="470">
        <v>0</v>
      </c>
      <c r="AC38" s="470">
        <v>0</v>
      </c>
      <c r="AD38" s="467"/>
      <c r="AE38" s="463">
        <f t="shared" si="1"/>
        <v>0</v>
      </c>
    </row>
    <row r="39" spans="1:32" x14ac:dyDescent="0.3">
      <c r="B39" s="483" t="s">
        <v>1455</v>
      </c>
      <c r="C39" s="472">
        <v>0</v>
      </c>
      <c r="D39" s="462"/>
      <c r="E39" s="463">
        <f>+C52+C53</f>
        <v>0</v>
      </c>
      <c r="F39" s="469">
        <f>-F30</f>
        <v>0</v>
      </c>
      <c r="G39" s="469">
        <v>0</v>
      </c>
      <c r="H39" s="476">
        <v>0</v>
      </c>
      <c r="I39" s="462"/>
      <c r="J39" s="473"/>
      <c r="L39" s="463">
        <f t="shared" si="2"/>
        <v>0</v>
      </c>
      <c r="M39" s="482"/>
      <c r="N39" s="464">
        <f t="shared" si="0"/>
        <v>0</v>
      </c>
      <c r="P39" s="470">
        <v>0</v>
      </c>
      <c r="Q39" s="470">
        <v>0</v>
      </c>
      <c r="R39" s="470">
        <v>0</v>
      </c>
      <c r="S39" s="470">
        <f>-N39</f>
        <v>0</v>
      </c>
      <c r="T39" s="470">
        <v>0</v>
      </c>
      <c r="U39" s="470">
        <v>0</v>
      </c>
      <c r="V39" s="470">
        <v>0</v>
      </c>
      <c r="W39" s="470">
        <v>0</v>
      </c>
      <c r="X39" s="470">
        <v>0</v>
      </c>
      <c r="Y39" s="470">
        <v>0</v>
      </c>
      <c r="Z39" s="470">
        <v>0</v>
      </c>
      <c r="AA39" s="470">
        <v>0</v>
      </c>
      <c r="AB39" s="470">
        <v>0</v>
      </c>
      <c r="AC39" s="470">
        <v>0</v>
      </c>
      <c r="AD39" s="467"/>
      <c r="AE39" s="463">
        <f t="shared" si="1"/>
        <v>0</v>
      </c>
    </row>
    <row r="40" spans="1:32" x14ac:dyDescent="0.3">
      <c r="B40" s="484" t="s">
        <v>1456</v>
      </c>
      <c r="C40" s="472">
        <f>+'Nota 17'!B11</f>
        <v>10178165742</v>
      </c>
      <c r="D40" s="462"/>
      <c r="E40" s="462"/>
      <c r="F40" s="469"/>
      <c r="G40" s="469">
        <v>0</v>
      </c>
      <c r="H40" s="476"/>
      <c r="I40" s="462"/>
      <c r="J40" s="473"/>
      <c r="L40" s="463">
        <f t="shared" si="2"/>
        <v>10178165742</v>
      </c>
      <c r="M40" s="482"/>
      <c r="N40" s="464">
        <f t="shared" si="0"/>
        <v>10178165742</v>
      </c>
      <c r="P40" s="470">
        <v>0</v>
      </c>
      <c r="Q40" s="470">
        <v>0</v>
      </c>
      <c r="R40" s="470">
        <v>0</v>
      </c>
      <c r="S40" s="470">
        <f>-N40</f>
        <v>-10178165742</v>
      </c>
      <c r="T40" s="470">
        <v>0</v>
      </c>
      <c r="U40" s="470">
        <v>0</v>
      </c>
      <c r="V40" s="470">
        <v>0</v>
      </c>
      <c r="W40" s="470">
        <v>0</v>
      </c>
      <c r="X40" s="470">
        <v>0</v>
      </c>
      <c r="Y40" s="470">
        <v>0</v>
      </c>
      <c r="Z40" s="470">
        <v>0</v>
      </c>
      <c r="AA40" s="470">
        <v>0</v>
      </c>
      <c r="AB40" s="470">
        <v>0</v>
      </c>
      <c r="AC40" s="470">
        <v>0</v>
      </c>
      <c r="AD40" s="467"/>
      <c r="AE40" s="463">
        <f t="shared" si="1"/>
        <v>0</v>
      </c>
    </row>
    <row r="41" spans="1:32" x14ac:dyDescent="0.3">
      <c r="B41" s="484" t="s">
        <v>105</v>
      </c>
      <c r="C41" s="472">
        <f>-ER!C31</f>
        <v>-94471671</v>
      </c>
      <c r="D41" s="461"/>
      <c r="E41" s="462"/>
      <c r="F41" s="469"/>
      <c r="G41" s="469">
        <v>0</v>
      </c>
      <c r="H41" s="476"/>
      <c r="I41" s="462"/>
      <c r="J41" s="473"/>
      <c r="L41" s="463">
        <f t="shared" si="2"/>
        <v>-94471671</v>
      </c>
      <c r="M41" s="482"/>
      <c r="N41" s="464">
        <f t="shared" si="0"/>
        <v>-94471671</v>
      </c>
      <c r="P41" s="470">
        <v>0</v>
      </c>
      <c r="Q41" s="470">
        <v>0</v>
      </c>
      <c r="R41" s="470">
        <v>0</v>
      </c>
      <c r="S41" s="470">
        <v>0</v>
      </c>
      <c r="T41" s="470">
        <v>0</v>
      </c>
      <c r="U41" s="470">
        <v>0</v>
      </c>
      <c r="V41" s="470">
        <v>0</v>
      </c>
      <c r="W41" s="470">
        <f>-N41</f>
        <v>94471671</v>
      </c>
      <c r="X41" s="470">
        <v>0</v>
      </c>
      <c r="Y41" s="470">
        <f>-V41</f>
        <v>0</v>
      </c>
      <c r="Z41" s="470">
        <v>0</v>
      </c>
      <c r="AA41" s="470">
        <v>0</v>
      </c>
      <c r="AB41" s="470">
        <v>0</v>
      </c>
      <c r="AC41" s="470">
        <v>0</v>
      </c>
      <c r="AD41" s="467"/>
      <c r="AE41" s="463">
        <f t="shared" si="1"/>
        <v>0</v>
      </c>
    </row>
    <row r="42" spans="1:32" x14ac:dyDescent="0.3">
      <c r="B42" s="484" t="s">
        <v>1457</v>
      </c>
      <c r="C42" s="472">
        <f>-ER!C32-ER!C33</f>
        <v>8453459814</v>
      </c>
      <c r="D42" s="461"/>
      <c r="E42" s="462"/>
      <c r="F42" s="469"/>
      <c r="G42" s="469"/>
      <c r="H42" s="476"/>
      <c r="I42" s="462"/>
      <c r="J42" s="473"/>
      <c r="L42" s="463">
        <f t="shared" si="2"/>
        <v>8453459814</v>
      </c>
      <c r="M42" s="482"/>
      <c r="N42" s="464">
        <f t="shared" si="0"/>
        <v>8453459814</v>
      </c>
      <c r="P42" s="470">
        <v>0</v>
      </c>
      <c r="Q42" s="470">
        <v>0</v>
      </c>
      <c r="R42" s="470">
        <v>0</v>
      </c>
      <c r="S42" s="470">
        <v>0</v>
      </c>
      <c r="T42" s="470">
        <v>0</v>
      </c>
      <c r="U42" s="470">
        <v>0</v>
      </c>
      <c r="V42" s="470">
        <f>+'Nota 19'!B5+'Nota 19'!B6</f>
        <v>-8453459814</v>
      </c>
      <c r="W42" s="470">
        <v>0</v>
      </c>
      <c r="X42" s="470">
        <v>0</v>
      </c>
      <c r="Y42" s="470">
        <v>0</v>
      </c>
      <c r="Z42" s="470">
        <v>0</v>
      </c>
      <c r="AA42" s="470">
        <v>0</v>
      </c>
      <c r="AB42" s="470">
        <v>0</v>
      </c>
      <c r="AC42" s="470">
        <v>0</v>
      </c>
      <c r="AD42" s="467"/>
      <c r="AE42" s="463">
        <f t="shared" si="1"/>
        <v>0</v>
      </c>
    </row>
    <row r="43" spans="1:32" x14ac:dyDescent="0.3">
      <c r="B43" s="484" t="s">
        <v>387</v>
      </c>
      <c r="C43" s="535">
        <f>-ER!C34</f>
        <v>-983981930</v>
      </c>
      <c r="D43" s="461"/>
      <c r="E43" s="462"/>
      <c r="F43" s="469"/>
      <c r="G43" s="469"/>
      <c r="H43" s="476"/>
      <c r="I43" s="462"/>
      <c r="J43" s="473"/>
      <c r="L43" s="463">
        <f t="shared" si="2"/>
        <v>-983981930</v>
      </c>
      <c r="M43" s="482"/>
      <c r="N43" s="464">
        <f t="shared" si="0"/>
        <v>-983981930</v>
      </c>
      <c r="P43" s="470">
        <v>0</v>
      </c>
      <c r="Q43" s="470">
        <v>0</v>
      </c>
      <c r="R43" s="470">
        <v>0</v>
      </c>
      <c r="S43" s="470">
        <v>0</v>
      </c>
      <c r="T43" s="470">
        <v>0</v>
      </c>
      <c r="U43" s="470">
        <v>0</v>
      </c>
      <c r="V43" s="470">
        <v>0</v>
      </c>
      <c r="W43" s="470">
        <v>0</v>
      </c>
      <c r="X43" s="470">
        <f>-N43</f>
        <v>983981930</v>
      </c>
      <c r="Y43" s="470">
        <v>0</v>
      </c>
      <c r="Z43" s="470">
        <v>0</v>
      </c>
      <c r="AA43" s="470">
        <v>0</v>
      </c>
      <c r="AB43" s="470">
        <v>0</v>
      </c>
      <c r="AC43" s="470">
        <v>0</v>
      </c>
      <c r="AD43" s="467"/>
      <c r="AE43" s="463">
        <f t="shared" si="1"/>
        <v>0</v>
      </c>
    </row>
    <row r="44" spans="1:32" x14ac:dyDescent="0.3">
      <c r="B44" s="484" t="s">
        <v>109</v>
      </c>
      <c r="C44" s="536">
        <f>-ER!C37</f>
        <v>346910809</v>
      </c>
      <c r="D44" s="461"/>
      <c r="E44" s="462"/>
      <c r="F44" s="469"/>
      <c r="G44" s="469"/>
      <c r="H44" s="476">
        <f>-C44</f>
        <v>-346910809</v>
      </c>
      <c r="I44" s="462"/>
      <c r="J44" s="473">
        <f>-J33</f>
        <v>0</v>
      </c>
      <c r="L44" s="463">
        <f t="shared" si="2"/>
        <v>0</v>
      </c>
      <c r="M44" s="482"/>
      <c r="N44" s="464">
        <f t="shared" si="0"/>
        <v>0</v>
      </c>
      <c r="P44" s="470">
        <v>0</v>
      </c>
      <c r="Q44" s="470">
        <v>0</v>
      </c>
      <c r="R44" s="470">
        <v>0</v>
      </c>
      <c r="S44" s="470">
        <v>0</v>
      </c>
      <c r="T44" s="470">
        <v>0</v>
      </c>
      <c r="U44" s="470">
        <v>0</v>
      </c>
      <c r="V44" s="470">
        <v>0</v>
      </c>
      <c r="W44" s="470">
        <v>0</v>
      </c>
      <c r="X44" s="470">
        <v>0</v>
      </c>
      <c r="Y44" s="470">
        <v>0</v>
      </c>
      <c r="Z44" s="470">
        <v>0</v>
      </c>
      <c r="AA44" s="470">
        <v>0</v>
      </c>
      <c r="AB44" s="470">
        <v>0</v>
      </c>
      <c r="AC44" s="470">
        <v>0</v>
      </c>
      <c r="AD44" s="467"/>
      <c r="AE44" s="463">
        <f t="shared" si="1"/>
        <v>0</v>
      </c>
    </row>
    <row r="45" spans="1:32" x14ac:dyDescent="0.3">
      <c r="B45" s="485" t="s">
        <v>1458</v>
      </c>
      <c r="C45" s="486">
        <v>0</v>
      </c>
      <c r="D45" s="487">
        <f>-C45</f>
        <v>0</v>
      </c>
      <c r="E45" s="488"/>
      <c r="F45" s="489"/>
      <c r="G45" s="489"/>
      <c r="H45" s="489"/>
      <c r="I45" s="462"/>
      <c r="J45" s="488"/>
      <c r="L45" s="463">
        <f t="shared" si="2"/>
        <v>0</v>
      </c>
      <c r="M45" s="490"/>
      <c r="N45" s="464">
        <f>L45</f>
        <v>0</v>
      </c>
      <c r="P45" s="470">
        <v>0</v>
      </c>
      <c r="Q45" s="470">
        <v>0</v>
      </c>
      <c r="R45" s="470">
        <v>0</v>
      </c>
      <c r="S45" s="470">
        <v>0</v>
      </c>
      <c r="T45" s="470">
        <v>0</v>
      </c>
      <c r="U45" s="470">
        <v>0</v>
      </c>
      <c r="V45" s="470">
        <v>0</v>
      </c>
      <c r="W45" s="470">
        <v>0</v>
      </c>
      <c r="X45" s="470">
        <v>0</v>
      </c>
      <c r="Y45" s="470">
        <v>0</v>
      </c>
      <c r="Z45" s="470">
        <v>0</v>
      </c>
      <c r="AA45" s="470">
        <v>0</v>
      </c>
      <c r="AB45" s="470">
        <v>0</v>
      </c>
      <c r="AC45" s="470">
        <v>0</v>
      </c>
      <c r="AD45" s="485"/>
      <c r="AE45" s="463">
        <f t="shared" si="1"/>
        <v>0</v>
      </c>
    </row>
    <row r="46" spans="1:32" s="491" customFormat="1" ht="14.4" thickBot="1" x14ac:dyDescent="0.35">
      <c r="C46" s="492">
        <f>SUM(C5:C45)</f>
        <v>0.40216064453125</v>
      </c>
      <c r="D46" s="493">
        <f t="shared" ref="D46:J46" si="4">SUM(D5:D45)</f>
        <v>0</v>
      </c>
      <c r="E46" s="493">
        <f t="shared" si="4"/>
        <v>0</v>
      </c>
      <c r="F46" s="493">
        <f t="shared" si="4"/>
        <v>0</v>
      </c>
      <c r="G46" s="493">
        <f t="shared" si="4"/>
        <v>0</v>
      </c>
      <c r="H46" s="493">
        <f t="shared" si="4"/>
        <v>0</v>
      </c>
      <c r="I46" s="493">
        <f t="shared" si="4"/>
        <v>0</v>
      </c>
      <c r="J46" s="493">
        <f t="shared" si="4"/>
        <v>0</v>
      </c>
      <c r="K46" s="494"/>
      <c r="L46" s="495">
        <f>SUM(L5:L45)</f>
        <v>0.40216064453125</v>
      </c>
      <c r="M46" s="496">
        <f>SUM(M5:M45)</f>
        <v>0</v>
      </c>
      <c r="N46" s="497">
        <f>SUM(N5:N45)</f>
        <v>0.40216064453125</v>
      </c>
      <c r="P46" s="498">
        <f t="shared" ref="P46:AE46" si="5">SUM(P4:P45)</f>
        <v>147625145791</v>
      </c>
      <c r="Q46" s="498">
        <f t="shared" si="5"/>
        <v>-91843019600</v>
      </c>
      <c r="R46" s="498">
        <f t="shared" si="5"/>
        <v>0</v>
      </c>
      <c r="S46" s="498">
        <f t="shared" si="5"/>
        <v>-55962617090.400024</v>
      </c>
      <c r="T46" s="498">
        <f t="shared" si="5"/>
        <v>0</v>
      </c>
      <c r="U46" s="498">
        <f t="shared" si="5"/>
        <v>0</v>
      </c>
      <c r="V46" s="498">
        <f t="shared" si="5"/>
        <v>-8453459814</v>
      </c>
      <c r="W46" s="498">
        <f t="shared" si="5"/>
        <v>94471671</v>
      </c>
      <c r="X46" s="498">
        <f t="shared" si="5"/>
        <v>983981930</v>
      </c>
      <c r="Y46" s="498">
        <f t="shared" si="5"/>
        <v>85491333595.997864</v>
      </c>
      <c r="Z46" s="498">
        <f t="shared" si="5"/>
        <v>0</v>
      </c>
      <c r="AA46" s="498">
        <f t="shared" si="5"/>
        <v>0</v>
      </c>
      <c r="AB46" s="498">
        <f t="shared" si="5"/>
        <v>-75593877128</v>
      </c>
      <c r="AC46" s="498">
        <f t="shared" si="5"/>
        <v>0</v>
      </c>
      <c r="AD46" s="498">
        <f t="shared" si="5"/>
        <v>0</v>
      </c>
      <c r="AE46" s="498">
        <f t="shared" si="5"/>
        <v>2341959356</v>
      </c>
    </row>
    <row r="47" spans="1:32" ht="14.4" thickTop="1" x14ac:dyDescent="0.3">
      <c r="C47" s="499"/>
      <c r="D47" s="499"/>
      <c r="E47" s="500"/>
      <c r="F47" s="500"/>
      <c r="G47" s="500"/>
      <c r="H47" s="500"/>
      <c r="I47" s="500"/>
      <c r="J47" s="500"/>
      <c r="K47" s="500"/>
      <c r="L47" s="499"/>
      <c r="M47" s="501"/>
      <c r="N47" s="500"/>
      <c r="O47" s="500"/>
      <c r="P47" s="499" t="s">
        <v>1395</v>
      </c>
      <c r="Q47" s="499"/>
      <c r="R47" s="500" t="s">
        <v>1395</v>
      </c>
      <c r="S47" s="499" t="s">
        <v>1395</v>
      </c>
      <c r="T47" s="499" t="s">
        <v>1395</v>
      </c>
      <c r="U47" s="499" t="s">
        <v>1395</v>
      </c>
      <c r="V47" s="499" t="s">
        <v>1395</v>
      </c>
      <c r="W47" s="499" t="s">
        <v>1395</v>
      </c>
      <c r="X47" s="500"/>
      <c r="Y47" s="500"/>
      <c r="Z47" s="500"/>
      <c r="AA47" s="500" t="s">
        <v>1395</v>
      </c>
      <c r="AB47" s="499" t="s">
        <v>1395</v>
      </c>
      <c r="AC47" s="500" t="s">
        <v>1395</v>
      </c>
      <c r="AD47" s="500" t="s">
        <v>1395</v>
      </c>
    </row>
    <row r="48" spans="1:32" x14ac:dyDescent="0.3">
      <c r="C48" s="499"/>
      <c r="D48" s="434"/>
      <c r="Q48" s="434"/>
      <c r="U48" s="434"/>
      <c r="W48" s="502"/>
      <c r="AB48" s="499"/>
      <c r="AC48" s="503"/>
      <c r="AD48" s="500"/>
      <c r="AE48" s="434">
        <f>SUM(P46:AD46)</f>
        <v>2341959355.5978394</v>
      </c>
      <c r="AF48" s="504"/>
    </row>
    <row r="49" spans="2:31" x14ac:dyDescent="0.3">
      <c r="B49" s="505" t="s">
        <v>1459</v>
      </c>
      <c r="C49" s="500"/>
      <c r="D49" s="434"/>
      <c r="F49" s="506"/>
      <c r="G49" s="506"/>
      <c r="H49" s="506"/>
      <c r="I49" s="507"/>
      <c r="J49" s="507"/>
      <c r="S49" s="434"/>
      <c r="W49" s="434"/>
      <c r="AB49" s="499"/>
      <c r="AC49" s="508"/>
      <c r="AD49" s="500"/>
      <c r="AE49" s="509">
        <f>AE46-AE48</f>
        <v>0.40216064453125</v>
      </c>
    </row>
    <row r="50" spans="2:31" x14ac:dyDescent="0.3">
      <c r="B50" s="432" t="s">
        <v>1460</v>
      </c>
      <c r="C50" s="510"/>
      <c r="F50" s="511"/>
      <c r="G50" s="511"/>
      <c r="H50" s="511"/>
      <c r="I50" s="512"/>
      <c r="J50" s="512"/>
      <c r="S50" s="468"/>
      <c r="U50" s="434"/>
      <c r="W50" s="502"/>
      <c r="AB50" s="500"/>
      <c r="AC50" s="499"/>
      <c r="AD50" s="500"/>
      <c r="AE50" s="434">
        <f>+AE46-AE48-AE49</f>
        <v>0</v>
      </c>
    </row>
    <row r="51" spans="2:31" x14ac:dyDescent="0.3">
      <c r="B51" s="505" t="s">
        <v>1461</v>
      </c>
      <c r="C51" s="510"/>
      <c r="F51" s="511"/>
      <c r="G51" s="511"/>
      <c r="H51" s="511"/>
      <c r="I51" s="512"/>
      <c r="J51" s="512"/>
      <c r="P51" s="434"/>
      <c r="Q51" s="434"/>
      <c r="R51" s="434"/>
      <c r="S51" s="434"/>
      <c r="T51" s="434"/>
      <c r="U51" s="434"/>
      <c r="V51" s="434"/>
      <c r="W51" s="434"/>
      <c r="AC51" s="434"/>
      <c r="AE51" s="471"/>
    </row>
    <row r="52" spans="2:31" x14ac:dyDescent="0.3">
      <c r="B52" s="432" t="s">
        <v>1462</v>
      </c>
      <c r="C52" s="510">
        <v>0</v>
      </c>
      <c r="F52" s="511"/>
      <c r="G52" s="511"/>
      <c r="H52" s="511"/>
      <c r="I52" s="512"/>
      <c r="J52" s="512"/>
      <c r="U52" s="434"/>
      <c r="W52" s="502"/>
      <c r="AC52" s="434"/>
      <c r="AE52" s="471"/>
    </row>
    <row r="53" spans="2:31" x14ac:dyDescent="0.3">
      <c r="B53" s="432" t="s">
        <v>1463</v>
      </c>
      <c r="C53" s="510">
        <v>0</v>
      </c>
      <c r="F53" s="511"/>
      <c r="G53" s="511"/>
      <c r="H53" s="511"/>
      <c r="I53" s="512"/>
      <c r="J53" s="512"/>
      <c r="U53" s="434"/>
      <c r="W53" s="502"/>
      <c r="AC53" s="434"/>
      <c r="AE53" s="471"/>
    </row>
    <row r="54" spans="2:31" x14ac:dyDescent="0.3">
      <c r="C54" s="510"/>
      <c r="F54" s="511"/>
      <c r="G54" s="511"/>
      <c r="H54" s="511"/>
      <c r="I54" s="512"/>
      <c r="J54" s="512"/>
      <c r="P54" s="513"/>
      <c r="Q54" s="513"/>
      <c r="R54" s="513"/>
      <c r="U54" s="434"/>
      <c r="W54" s="502"/>
      <c r="AC54" s="434"/>
    </row>
    <row r="55" spans="2:31" x14ac:dyDescent="0.3">
      <c r="B55" s="505" t="s">
        <v>1464</v>
      </c>
      <c r="C55" s="500"/>
      <c r="F55" s="511"/>
      <c r="G55" s="511"/>
      <c r="H55" s="511"/>
      <c r="I55" s="512"/>
      <c r="J55" s="512"/>
    </row>
    <row r="56" spans="2:31" x14ac:dyDescent="0.3">
      <c r="B56" s="432" t="s">
        <v>86</v>
      </c>
      <c r="C56" s="514"/>
      <c r="D56" s="514"/>
      <c r="S56" s="434"/>
    </row>
    <row r="57" spans="2:31" x14ac:dyDescent="0.3">
      <c r="B57" s="505" t="s">
        <v>1465</v>
      </c>
      <c r="S57" s="434"/>
    </row>
    <row r="58" spans="2:31" x14ac:dyDescent="0.3">
      <c r="B58" s="432" t="s">
        <v>361</v>
      </c>
      <c r="C58" s="510">
        <v>0</v>
      </c>
      <c r="D58" s="434"/>
      <c r="S58" s="434"/>
      <c r="T58" s="477"/>
    </row>
    <row r="59" spans="2:31" x14ac:dyDescent="0.3">
      <c r="B59" s="432" t="s">
        <v>1466</v>
      </c>
      <c r="C59" s="510">
        <v>0</v>
      </c>
      <c r="D59" s="434"/>
      <c r="S59" s="434"/>
      <c r="T59" s="477"/>
    </row>
    <row r="60" spans="2:31" x14ac:dyDescent="0.3">
      <c r="C60" s="510">
        <v>0</v>
      </c>
      <c r="D60" s="434"/>
      <c r="S60" s="434"/>
      <c r="T60" s="477"/>
    </row>
    <row r="61" spans="2:31" x14ac:dyDescent="0.3">
      <c r="B61" s="505" t="s">
        <v>1467</v>
      </c>
      <c r="C61" s="510"/>
      <c r="D61" s="434"/>
      <c r="P61" s="477"/>
      <c r="Q61" s="477"/>
      <c r="R61" s="477"/>
      <c r="S61" s="434"/>
    </row>
    <row r="62" spans="2:31" x14ac:dyDescent="0.3">
      <c r="B62" s="432" t="s">
        <v>1468</v>
      </c>
      <c r="C62" s="514"/>
      <c r="D62" s="434"/>
      <c r="S62" s="434"/>
    </row>
    <row r="63" spans="2:31" x14ac:dyDescent="0.3">
      <c r="B63" s="515"/>
      <c r="C63" s="514"/>
      <c r="D63" s="434"/>
      <c r="S63" s="516" t="s">
        <v>1469</v>
      </c>
    </row>
    <row r="64" spans="2:31" x14ac:dyDescent="0.3">
      <c r="B64" s="505" t="s">
        <v>1470</v>
      </c>
    </row>
    <row r="65" spans="1:31" x14ac:dyDescent="0.3">
      <c r="B65" s="477"/>
      <c r="C65" s="509"/>
    </row>
    <row r="66" spans="1:31" x14ac:dyDescent="0.3">
      <c r="B66" s="517"/>
      <c r="C66" s="509"/>
    </row>
    <row r="67" spans="1:31" x14ac:dyDescent="0.3">
      <c r="B67" s="517"/>
      <c r="C67" s="434"/>
      <c r="D67" s="434"/>
      <c r="E67" s="434"/>
    </row>
    <row r="68" spans="1:31" x14ac:dyDescent="0.3">
      <c r="B68" s="477"/>
      <c r="C68" s="509"/>
    </row>
    <row r="69" spans="1:31" x14ac:dyDescent="0.3">
      <c r="B69" s="477"/>
      <c r="C69" s="509"/>
    </row>
    <row r="70" spans="1:31" s="435" customFormat="1" x14ac:dyDescent="0.3">
      <c r="A70" s="432"/>
      <c r="B70" s="505"/>
      <c r="D70" s="432"/>
      <c r="E70" s="432"/>
      <c r="F70" s="432"/>
      <c r="G70" s="432"/>
      <c r="H70" s="432"/>
      <c r="I70" s="432"/>
      <c r="J70" s="432"/>
      <c r="K70" s="432"/>
      <c r="L70" s="432"/>
      <c r="N70" s="432"/>
      <c r="O70" s="432"/>
      <c r="P70" s="432"/>
      <c r="Q70" s="432"/>
      <c r="R70" s="432"/>
      <c r="S70" s="432"/>
      <c r="T70" s="432"/>
      <c r="U70" s="432"/>
      <c r="V70" s="432"/>
      <c r="W70" s="432"/>
      <c r="X70" s="432"/>
      <c r="Y70" s="432"/>
      <c r="Z70" s="432"/>
      <c r="AA70" s="432"/>
      <c r="AB70" s="432"/>
      <c r="AC70" s="432"/>
      <c r="AD70" s="432"/>
      <c r="AE70" s="432"/>
    </row>
    <row r="71" spans="1:31" s="435" customFormat="1" x14ac:dyDescent="0.3">
      <c r="A71" s="432"/>
      <c r="B71" s="500" t="s">
        <v>1471</v>
      </c>
      <c r="C71" s="435" t="e">
        <f>-'[6]EERR MV'!#REF!-'[6]EERR MV'!#REF!-'[6]EERR MV'!#REF!-'[6]EERR MV'!#REF!-'[6]EERR MV'!#REF!-'[6]EERR MV'!#REF!-'[6]EERR MV'!#REF!</f>
        <v>#REF!</v>
      </c>
      <c r="D71" s="432"/>
      <c r="E71" s="432"/>
      <c r="F71" s="432"/>
      <c r="G71" s="432"/>
      <c r="H71" s="432"/>
      <c r="I71" s="432"/>
      <c r="J71" s="432"/>
      <c r="K71" s="432"/>
      <c r="L71" s="432"/>
      <c r="N71" s="432"/>
      <c r="O71" s="432"/>
      <c r="P71" s="432"/>
      <c r="Q71" s="432"/>
      <c r="R71" s="432"/>
      <c r="S71" s="432"/>
      <c r="T71" s="432"/>
      <c r="U71" s="432"/>
      <c r="V71" s="432"/>
      <c r="W71" s="432"/>
      <c r="X71" s="432"/>
      <c r="Y71" s="432"/>
      <c r="Z71" s="432"/>
      <c r="AA71" s="432"/>
      <c r="AB71" s="432"/>
      <c r="AC71" s="432"/>
      <c r="AD71" s="432"/>
      <c r="AE71" s="432"/>
    </row>
    <row r="73" spans="1:31" x14ac:dyDescent="0.3">
      <c r="E73" s="434"/>
    </row>
  </sheetData>
  <mergeCells count="4">
    <mergeCell ref="D2:J2"/>
    <mergeCell ref="L2:N2"/>
    <mergeCell ref="P2:W2"/>
    <mergeCell ref="X2:AB2"/>
  </mergeCell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84518D-B7E6-004E-9793-D40D76635F62}">
  <sheetPr>
    <tabColor rgb="FF002060"/>
  </sheetPr>
  <dimension ref="A1:F15"/>
  <sheetViews>
    <sheetView showGridLines="0" zoomScale="110" zoomScaleNormal="110" workbookViewId="0">
      <selection activeCell="F1" sqref="F1"/>
    </sheetView>
  </sheetViews>
  <sheetFormatPr baseColWidth="10" defaultColWidth="11.5" defaultRowHeight="14.4" x14ac:dyDescent="0.3"/>
  <cols>
    <col min="1" max="1" width="48" style="145" bestFit="1" customWidth="1"/>
    <col min="2" max="2" width="14.3984375" style="145" bestFit="1" customWidth="1"/>
    <col min="3" max="3" width="2.59765625" style="145" customWidth="1"/>
    <col min="4" max="4" width="14.3984375" style="145" bestFit="1" customWidth="1"/>
    <col min="5" max="16384" width="11.5" style="145"/>
  </cols>
  <sheetData>
    <row r="1" spans="1:6" ht="17.399999999999999" x14ac:dyDescent="0.3">
      <c r="A1" s="611" t="s">
        <v>343</v>
      </c>
      <c r="B1" s="611"/>
      <c r="C1" s="611"/>
      <c r="D1" s="611"/>
      <c r="E1" s="49" t="s">
        <v>118</v>
      </c>
      <c r="F1" s="183" t="s">
        <v>94</v>
      </c>
    </row>
    <row r="2" spans="1:6" x14ac:dyDescent="0.3">
      <c r="A2" s="133"/>
      <c r="B2" s="132" t="s">
        <v>1556</v>
      </c>
      <c r="C2" s="133"/>
      <c r="D2" s="132" t="s">
        <v>520</v>
      </c>
    </row>
    <row r="3" spans="1:6" x14ac:dyDescent="0.3">
      <c r="A3" s="147" t="s">
        <v>344</v>
      </c>
      <c r="B3" s="136">
        <f>SUMIF(EERR!B:B,A3,EERR!E:E)</f>
        <v>61808587359</v>
      </c>
      <c r="C3" s="135"/>
      <c r="D3" s="136">
        <v>94159823552</v>
      </c>
    </row>
    <row r="4" spans="1:6" x14ac:dyDescent="0.3">
      <c r="A4" s="147" t="s">
        <v>345</v>
      </c>
      <c r="B4" s="136">
        <f>SUMIF(EERR!B:B,A4,EERR!E:E)</f>
        <v>29565171651</v>
      </c>
      <c r="C4" s="135"/>
      <c r="D4" s="136">
        <v>39970512029</v>
      </c>
    </row>
    <row r="5" spans="1:6" x14ac:dyDescent="0.3">
      <c r="A5" s="147" t="s">
        <v>347</v>
      </c>
      <c r="B5" s="136">
        <f>SUMIF(EERR!B:B,A5,EERR!E:E)</f>
        <v>15246887039</v>
      </c>
      <c r="C5" s="135"/>
      <c r="D5" s="136">
        <v>21349256502</v>
      </c>
    </row>
    <row r="6" spans="1:6" x14ac:dyDescent="0.3">
      <c r="A6" s="147" t="s">
        <v>346</v>
      </c>
      <c r="B6" s="136">
        <f>SUMIF(EERR!B:B,A6,EERR!E:E)</f>
        <v>15642911581</v>
      </c>
      <c r="C6" s="135"/>
      <c r="D6" s="136">
        <v>20880576492</v>
      </c>
    </row>
    <row r="7" spans="1:6" x14ac:dyDescent="0.3">
      <c r="A7" s="147" t="s">
        <v>350</v>
      </c>
      <c r="B7" s="136">
        <f>SUMIF(EERR!B:B,A7,EERR!E:E)</f>
        <v>11217008931</v>
      </c>
      <c r="C7" s="135"/>
      <c r="D7" s="136">
        <v>12295946891</v>
      </c>
    </row>
    <row r="8" spans="1:6" x14ac:dyDescent="0.3">
      <c r="A8" s="147" t="s">
        <v>348</v>
      </c>
      <c r="B8" s="136">
        <f>SUMIF(EERR!B:B,A8,EERR!E:E)</f>
        <v>6800647138</v>
      </c>
      <c r="C8" s="135"/>
      <c r="D8" s="136">
        <v>9296770373</v>
      </c>
    </row>
    <row r="9" spans="1:6" x14ac:dyDescent="0.3">
      <c r="A9" s="147" t="s">
        <v>349</v>
      </c>
      <c r="B9" s="136">
        <f>SUMIF(EERR!B:B,A9,EERR!E:E)</f>
        <v>5828914409</v>
      </c>
      <c r="C9" s="135"/>
      <c r="D9" s="136">
        <v>8748371416</v>
      </c>
    </row>
    <row r="10" spans="1:6" x14ac:dyDescent="0.3">
      <c r="A10" s="147" t="s">
        <v>505</v>
      </c>
      <c r="B10" s="136">
        <f>SUMIF(EERR!B:B,A10,EERR!E:E)</f>
        <v>0</v>
      </c>
      <c r="C10" s="135"/>
      <c r="D10" s="136">
        <v>3991765983</v>
      </c>
    </row>
    <row r="11" spans="1:6" x14ac:dyDescent="0.3">
      <c r="A11" s="147" t="s">
        <v>351</v>
      </c>
      <c r="B11" s="136">
        <f>SUMIF(EERR!B:B,A11,EERR!E:E)</f>
        <v>520251599</v>
      </c>
      <c r="C11" s="135"/>
      <c r="D11" s="136">
        <v>1990672536</v>
      </c>
    </row>
    <row r="12" spans="1:6" x14ac:dyDescent="0.3">
      <c r="A12" s="147" t="s">
        <v>352</v>
      </c>
      <c r="B12" s="136">
        <f>SUMIF(EERR!B:B,A12,EERR!E:E)</f>
        <v>8397907</v>
      </c>
      <c r="C12" s="135"/>
      <c r="D12" s="136">
        <v>8912137</v>
      </c>
    </row>
    <row r="13" spans="1:6" x14ac:dyDescent="0.3">
      <c r="A13" s="147" t="s">
        <v>1493</v>
      </c>
      <c r="B13" s="136">
        <f>SUMIF(EERR!B:B,A13,EERR!E:E)</f>
        <v>8748164463</v>
      </c>
      <c r="C13" s="135"/>
      <c r="D13" s="136">
        <v>0</v>
      </c>
    </row>
    <row r="14" spans="1:6" ht="15" thickBot="1" x14ac:dyDescent="0.35">
      <c r="A14" s="139" t="s">
        <v>246</v>
      </c>
      <c r="B14" s="140">
        <f>SUM(B3:B13)</f>
        <v>155386942077</v>
      </c>
      <c r="C14" s="139"/>
      <c r="D14" s="140">
        <f>SUM(D3:D13)</f>
        <v>212692607911</v>
      </c>
    </row>
    <row r="15" spans="1:6" ht="15" thickTop="1" x14ac:dyDescent="0.3">
      <c r="A15" s="209" t="s">
        <v>353</v>
      </c>
      <c r="B15" s="210">
        <f>+B14-ER!C10</f>
        <v>0</v>
      </c>
      <c r="C15" s="209"/>
      <c r="D15" s="210">
        <v>0</v>
      </c>
    </row>
  </sheetData>
  <mergeCells count="1">
    <mergeCell ref="A1:D1"/>
  </mergeCells>
  <hyperlinks>
    <hyperlink ref="E1" location="Indice!D32" display="Indice" xr:uid="{54A4CB79-CDAC-0D4B-A2C4-7A5340119F83}"/>
    <hyperlink ref="F1" location="ER!A1" display="ER" xr:uid="{9E21A4C8-C37A-AD4E-A9F5-ACCA0F86CCF6}"/>
  </hyperlink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43FDB8-BBA2-3B46-B72E-AAF86B013500}">
  <sheetPr>
    <tabColor rgb="FF002060"/>
  </sheetPr>
  <dimension ref="A1:F20"/>
  <sheetViews>
    <sheetView showGridLines="0" zoomScale="110" zoomScaleNormal="110" workbookViewId="0">
      <selection activeCell="B19" sqref="B19"/>
    </sheetView>
  </sheetViews>
  <sheetFormatPr baseColWidth="10" defaultColWidth="11.5" defaultRowHeight="14.4" x14ac:dyDescent="0.3"/>
  <cols>
    <col min="1" max="1" width="45.09765625" style="145" customWidth="1"/>
    <col min="2" max="2" width="15.8984375" style="145" bestFit="1" customWidth="1"/>
    <col min="3" max="3" width="2.59765625" style="145" customWidth="1"/>
    <col min="4" max="4" width="16.5" style="145" bestFit="1" customWidth="1"/>
    <col min="5" max="5" width="11.5" style="145"/>
    <col min="6" max="6" width="14.59765625" style="145" bestFit="1" customWidth="1"/>
    <col min="7" max="16384" width="11.5" style="145"/>
  </cols>
  <sheetData>
    <row r="1" spans="1:6" ht="17.399999999999999" x14ac:dyDescent="0.3">
      <c r="A1" s="611" t="s">
        <v>354</v>
      </c>
      <c r="B1" s="611"/>
      <c r="C1" s="611"/>
      <c r="D1" s="611"/>
      <c r="E1" s="49" t="s">
        <v>118</v>
      </c>
      <c r="F1" s="183" t="s">
        <v>94</v>
      </c>
    </row>
    <row r="2" spans="1:6" x14ac:dyDescent="0.3">
      <c r="A2" s="133"/>
      <c r="B2" s="132" t="s">
        <v>1534</v>
      </c>
      <c r="C2" s="133"/>
      <c r="D2" s="132" t="s">
        <v>478</v>
      </c>
    </row>
    <row r="3" spans="1:6" x14ac:dyDescent="0.3">
      <c r="A3" s="211" t="s">
        <v>355</v>
      </c>
      <c r="B3" s="136">
        <f>-SUMIF(EERR!B:B,A3,EERR!E:E)</f>
        <v>43903501760</v>
      </c>
      <c r="C3" s="135"/>
      <c r="D3" s="136">
        <v>44961424102</v>
      </c>
    </row>
    <row r="4" spans="1:6" x14ac:dyDescent="0.3">
      <c r="A4" s="211" t="s">
        <v>357</v>
      </c>
      <c r="B4" s="136">
        <f>-SUMIF(EERR!B:B,A4,EERR!E:E)</f>
        <v>20854675948</v>
      </c>
      <c r="C4" s="135"/>
      <c r="D4" s="136">
        <v>32034790516</v>
      </c>
    </row>
    <row r="5" spans="1:6" x14ac:dyDescent="0.3">
      <c r="A5" s="211" t="s">
        <v>356</v>
      </c>
      <c r="B5" s="136">
        <f>-SUMIF(EERR!B:B,A5,EERR!E:E)</f>
        <v>12232285473</v>
      </c>
      <c r="C5" s="135"/>
      <c r="D5" s="136">
        <v>21592761510</v>
      </c>
    </row>
    <row r="6" spans="1:6" x14ac:dyDescent="0.3">
      <c r="A6" s="211" t="s">
        <v>310</v>
      </c>
      <c r="B6" s="136">
        <f>-SUMIF(EERR!B:B,A6,EERR!E:E)</f>
        <v>13772424176</v>
      </c>
      <c r="C6" s="135"/>
      <c r="D6" s="136">
        <v>22256628403</v>
      </c>
      <c r="F6" s="530"/>
    </row>
    <row r="7" spans="1:6" x14ac:dyDescent="0.3">
      <c r="A7" s="211" t="s">
        <v>359</v>
      </c>
      <c r="B7" s="136">
        <f>-SUMIF(EERR!B:B,A7,EERR!E:E)</f>
        <v>12721305241</v>
      </c>
      <c r="C7" s="135"/>
      <c r="D7" s="136">
        <v>17131576849</v>
      </c>
    </row>
    <row r="8" spans="1:6" x14ac:dyDescent="0.3">
      <c r="A8" s="211" t="s">
        <v>360</v>
      </c>
      <c r="B8" s="136">
        <f>-SUMIF(EERR!B:B,A8,EERR!E:E)</f>
        <v>4153890709</v>
      </c>
      <c r="C8" s="135"/>
      <c r="D8" s="136">
        <v>8424445446</v>
      </c>
    </row>
    <row r="9" spans="1:6" x14ac:dyDescent="0.3">
      <c r="A9" s="211" t="s">
        <v>361</v>
      </c>
      <c r="B9" s="136">
        <f>-SUMIF(EERR!B:B,A9,EERR!E:E)</f>
        <v>4230358686</v>
      </c>
      <c r="C9" s="135"/>
      <c r="D9" s="136">
        <v>8174520021</v>
      </c>
    </row>
    <row r="10" spans="1:6" x14ac:dyDescent="0.3">
      <c r="A10" s="211" t="s">
        <v>366</v>
      </c>
      <c r="B10" s="136">
        <f>-SUMIF(EERR!B:B,A10,EERR!E:E)</f>
        <v>5455615233</v>
      </c>
      <c r="C10" s="135"/>
      <c r="D10" s="136">
        <v>6683331278</v>
      </c>
    </row>
    <row r="11" spans="1:6" x14ac:dyDescent="0.3">
      <c r="A11" s="211" t="s">
        <v>358</v>
      </c>
      <c r="B11" s="136">
        <f>-SUMIF(EERR!B:B,A11,EERR!E:E)</f>
        <v>4753365773</v>
      </c>
      <c r="C11" s="135"/>
      <c r="D11" s="136">
        <v>6462559368</v>
      </c>
    </row>
    <row r="12" spans="1:6" x14ac:dyDescent="0.3">
      <c r="A12" s="211" t="s">
        <v>363</v>
      </c>
      <c r="B12" s="136">
        <f>-SUMIF(EERR!B:B,A12,EERR!E:E)</f>
        <v>1137276865</v>
      </c>
      <c r="C12" s="135"/>
      <c r="D12" s="136">
        <v>6220598668</v>
      </c>
    </row>
    <row r="13" spans="1:6" x14ac:dyDescent="0.3">
      <c r="A13" s="211" t="s">
        <v>362</v>
      </c>
      <c r="B13" s="136">
        <f>-SUMIF(EERR!B:B,A13,EERR!E:E)</f>
        <v>2643234660</v>
      </c>
      <c r="C13" s="147"/>
      <c r="D13" s="136">
        <v>5566190994</v>
      </c>
    </row>
    <row r="14" spans="1:6" x14ac:dyDescent="0.3">
      <c r="A14" s="211" t="s">
        <v>365</v>
      </c>
      <c r="B14" s="136">
        <f>-SUMIF(EERR!B:B,A14,EERR!E:E)</f>
        <v>1574154193</v>
      </c>
      <c r="C14" s="135"/>
      <c r="D14" s="136">
        <v>2208805777</v>
      </c>
    </row>
    <row r="15" spans="1:6" x14ac:dyDescent="0.3">
      <c r="A15" s="211" t="s">
        <v>367</v>
      </c>
      <c r="B15" s="136">
        <f>-SUMIF(EERR!B:B,A15,EERR!E:E)</f>
        <v>226908672</v>
      </c>
      <c r="C15" s="135"/>
      <c r="D15" s="136">
        <v>2059603610</v>
      </c>
    </row>
    <row r="16" spans="1:6" x14ac:dyDescent="0.3">
      <c r="A16" s="211" t="s">
        <v>506</v>
      </c>
      <c r="B16" s="136">
        <f>-SUMIF(EERR!B:B,A16,EERR!E:E)</f>
        <v>0</v>
      </c>
      <c r="C16" s="135"/>
      <c r="D16" s="136">
        <v>1486256069</v>
      </c>
    </row>
    <row r="17" spans="1:4" x14ac:dyDescent="0.3">
      <c r="A17" s="211" t="s">
        <v>364</v>
      </c>
      <c r="B17" s="136">
        <f>-SUMIF(EERR!B:B,A17,EERR!E:E)</f>
        <v>5586595</v>
      </c>
      <c r="C17" s="135"/>
      <c r="D17" s="136">
        <v>6207912</v>
      </c>
    </row>
    <row r="18" spans="1:4" x14ac:dyDescent="0.3">
      <c r="A18" s="211" t="s">
        <v>368</v>
      </c>
      <c r="B18" s="136">
        <f>-SUMIF(EERR!B:B,A18,EERR!E:E)</f>
        <v>926801236</v>
      </c>
      <c r="C18" s="135"/>
      <c r="D18" s="136">
        <v>1327389785</v>
      </c>
    </row>
    <row r="19" spans="1:4" ht="15" thickBot="1" x14ac:dyDescent="0.35">
      <c r="A19" s="139" t="s">
        <v>246</v>
      </c>
      <c r="B19" s="140">
        <f>SUM(B3:B18)</f>
        <v>128591385220</v>
      </c>
      <c r="C19" s="139"/>
      <c r="D19" s="140">
        <f>SUM(D3:D18)</f>
        <v>186597090308</v>
      </c>
    </row>
    <row r="20" spans="1:4" ht="15" thickTop="1" x14ac:dyDescent="0.3">
      <c r="A20" s="209" t="s">
        <v>353</v>
      </c>
      <c r="B20" s="210">
        <f>+B19+ER!C11</f>
        <v>0</v>
      </c>
      <c r="C20" s="209"/>
      <c r="D20" s="210">
        <v>0</v>
      </c>
    </row>
  </sheetData>
  <mergeCells count="1">
    <mergeCell ref="A1:D1"/>
  </mergeCells>
  <hyperlinks>
    <hyperlink ref="E1" location="Indice!D12" display="Indice" xr:uid="{383D1425-C960-A54C-A839-6929FE684E21}"/>
    <hyperlink ref="F1" location="ER!A1" display="ER" xr:uid="{534A8623-F682-8943-85B4-F0090CEACF4B}"/>
  </hyperlink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DEBBF5-E0F6-8C4F-8EE4-111BD5371C08}">
  <sheetPr>
    <tabColor rgb="FF002060"/>
  </sheetPr>
  <dimension ref="A1:F10"/>
  <sheetViews>
    <sheetView showGridLines="0" zoomScale="110" zoomScaleNormal="110" workbookViewId="0">
      <selection activeCell="A16" sqref="A16"/>
    </sheetView>
  </sheetViews>
  <sheetFormatPr baseColWidth="10" defaultColWidth="11.5" defaultRowHeight="14.4" x14ac:dyDescent="0.3"/>
  <cols>
    <col min="1" max="1" width="48" style="145" bestFit="1" customWidth="1"/>
    <col min="2" max="2" width="15.8984375" style="145" bestFit="1" customWidth="1"/>
    <col min="3" max="3" width="2.59765625" style="145" customWidth="1"/>
    <col min="4" max="4" width="15.8984375" style="145" bestFit="1" customWidth="1"/>
    <col min="5" max="16384" width="11.5" style="145"/>
  </cols>
  <sheetData>
    <row r="1" spans="1:6" ht="17.399999999999999" x14ac:dyDescent="0.3">
      <c r="A1" s="611" t="s">
        <v>369</v>
      </c>
      <c r="B1" s="611"/>
      <c r="C1" s="611"/>
      <c r="D1" s="611"/>
      <c r="E1" s="49" t="s">
        <v>118</v>
      </c>
      <c r="F1" s="183" t="s">
        <v>94</v>
      </c>
    </row>
    <row r="2" spans="1:6" x14ac:dyDescent="0.3">
      <c r="A2" s="133"/>
      <c r="B2" s="132" t="s">
        <v>1534</v>
      </c>
      <c r="C2" s="133"/>
      <c r="D2" s="132" t="s">
        <v>478</v>
      </c>
    </row>
    <row r="3" spans="1:6" x14ac:dyDescent="0.3">
      <c r="A3" s="28" t="s">
        <v>371</v>
      </c>
      <c r="B3" s="136">
        <f>-SUMIF(EERR!B:B,A3,EERR!E:E)</f>
        <v>1909115393</v>
      </c>
      <c r="C3" s="135"/>
      <c r="D3" s="136">
        <v>2991985512</v>
      </c>
    </row>
    <row r="4" spans="1:6" x14ac:dyDescent="0.3">
      <c r="A4" s="147" t="s">
        <v>370</v>
      </c>
      <c r="B4" s="136">
        <f>-SUMIF(EERR!B:B,A4,EERR!E:E)</f>
        <v>2320049005</v>
      </c>
      <c r="C4" s="135"/>
      <c r="D4" s="136">
        <v>2942067704</v>
      </c>
    </row>
    <row r="5" spans="1:6" x14ac:dyDescent="0.3">
      <c r="A5" s="147" t="s">
        <v>372</v>
      </c>
      <c r="B5" s="136">
        <f>-SUMIF(EERR!B:B,A5,EERR!E:E)</f>
        <v>333043122</v>
      </c>
      <c r="C5" s="135"/>
      <c r="D5" s="136">
        <v>855091423</v>
      </c>
    </row>
    <row r="6" spans="1:6" x14ac:dyDescent="0.3">
      <c r="A6" s="147" t="s">
        <v>373</v>
      </c>
      <c r="B6" s="136">
        <f>-SUMIF(EERR!B:B,A6,EERR!E:E)</f>
        <v>600313071</v>
      </c>
      <c r="C6" s="135"/>
      <c r="D6" s="136">
        <v>669174519</v>
      </c>
    </row>
    <row r="7" spans="1:6" x14ac:dyDescent="0.3">
      <c r="A7" s="147" t="s">
        <v>375</v>
      </c>
      <c r="B7" s="136">
        <f>-SUMIF(EERR!B:B,A7,EERR!E:E)</f>
        <v>435216678</v>
      </c>
      <c r="C7" s="135"/>
      <c r="D7" s="136">
        <v>228104557</v>
      </c>
    </row>
    <row r="8" spans="1:6" x14ac:dyDescent="0.3">
      <c r="A8" s="147" t="s">
        <v>374</v>
      </c>
      <c r="B8" s="136">
        <f>-SUMIF(EERR!B:B,A8,EERR!E:E)</f>
        <v>175539547</v>
      </c>
      <c r="C8" s="135"/>
      <c r="D8" s="136">
        <v>188513923</v>
      </c>
    </row>
    <row r="9" spans="1:6" ht="15" thickBot="1" x14ac:dyDescent="0.35">
      <c r="A9" s="139" t="s">
        <v>246</v>
      </c>
      <c r="B9" s="140">
        <f>SUM(B3:B8)</f>
        <v>5773276816</v>
      </c>
      <c r="C9" s="140"/>
      <c r="D9" s="140">
        <f>SUM(D3:D8)</f>
        <v>7874937638</v>
      </c>
    </row>
    <row r="10" spans="1:6" ht="15" thickTop="1" x14ac:dyDescent="0.3">
      <c r="A10" s="209" t="s">
        <v>353</v>
      </c>
      <c r="B10" s="210">
        <f>+B9+ER!C15</f>
        <v>0</v>
      </c>
      <c r="C10" s="209"/>
      <c r="D10" s="210">
        <v>0</v>
      </c>
    </row>
  </sheetData>
  <mergeCells count="1">
    <mergeCell ref="A1:D1"/>
  </mergeCells>
  <hyperlinks>
    <hyperlink ref="E1" location="Indice!D34" display="Indice" xr:uid="{32489EB3-3822-C94F-B539-E209A1B48ADF}"/>
    <hyperlink ref="F1" location="ER!C15" display="ER" xr:uid="{53EB1954-A569-404C-AE11-88E434BD7563}"/>
  </hyperlink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220B9C-897D-6C42-A1B1-D72DAF90853F}">
  <sheetPr>
    <tabColor rgb="FF002060"/>
  </sheetPr>
  <dimension ref="A1:F20"/>
  <sheetViews>
    <sheetView showGridLines="0" zoomScale="115" zoomScaleNormal="115" workbookViewId="0">
      <selection activeCell="F15" sqref="F15"/>
    </sheetView>
  </sheetViews>
  <sheetFormatPr baseColWidth="10" defaultColWidth="10.8984375" defaultRowHeight="13.8" x14ac:dyDescent="0.25"/>
  <cols>
    <col min="1" max="1" width="40.09765625" style="214" customWidth="1"/>
    <col min="2" max="2" width="12.5" style="214" bestFit="1" customWidth="1"/>
    <col min="3" max="3" width="4.8984375" style="214" customWidth="1"/>
    <col min="4" max="4" width="14" style="214" bestFit="1" customWidth="1"/>
    <col min="5" max="5" width="11.09765625" style="214" bestFit="1" customWidth="1"/>
    <col min="6" max="16384" width="10.8984375" style="214"/>
  </cols>
  <sheetData>
    <row r="1" spans="1:6" ht="17.399999999999999" x14ac:dyDescent="0.3">
      <c r="A1" s="611" t="s">
        <v>376</v>
      </c>
      <c r="B1" s="611"/>
      <c r="C1" s="611"/>
      <c r="D1" s="611"/>
      <c r="E1" s="212" t="s">
        <v>118</v>
      </c>
      <c r="F1" s="213" t="s">
        <v>94</v>
      </c>
    </row>
    <row r="2" spans="1:6" ht="15.6" x14ac:dyDescent="0.3">
      <c r="A2" s="215"/>
      <c r="B2" s="215"/>
    </row>
    <row r="3" spans="1:6" x14ac:dyDescent="0.25">
      <c r="A3" s="133"/>
      <c r="B3" s="132" t="s">
        <v>1534</v>
      </c>
      <c r="C3" s="133"/>
      <c r="D3" s="132" t="s">
        <v>478</v>
      </c>
    </row>
    <row r="4" spans="1:6" x14ac:dyDescent="0.25">
      <c r="A4" s="28" t="s">
        <v>377</v>
      </c>
      <c r="B4" s="136">
        <f>-SUMIF(EERR!B:B,A4,EERR!E:E)</f>
        <v>5539707249</v>
      </c>
      <c r="C4" s="216"/>
      <c r="D4" s="136">
        <v>2391108010</v>
      </c>
    </row>
    <row r="5" spans="1:6" x14ac:dyDescent="0.25">
      <c r="A5" s="147" t="s">
        <v>1492</v>
      </c>
      <c r="B5" s="136">
        <f>-SUMIF(EERR!B:B,A5,EERR!E:E)</f>
        <v>2193474978</v>
      </c>
      <c r="C5" s="216"/>
      <c r="D5" s="136">
        <v>0</v>
      </c>
    </row>
    <row r="6" spans="1:6" x14ac:dyDescent="0.25">
      <c r="A6" s="147" t="s">
        <v>378</v>
      </c>
      <c r="B6" s="136">
        <f>-SUMIF(EERR!B:B,A6,EERR!E:E)</f>
        <v>1200662999</v>
      </c>
      <c r="C6" s="216"/>
      <c r="D6" s="136">
        <v>1174609075</v>
      </c>
    </row>
    <row r="7" spans="1:6" x14ac:dyDescent="0.25">
      <c r="A7" s="147" t="s">
        <v>379</v>
      </c>
      <c r="B7" s="136">
        <f>-SUMIF(EERR!B:B,A7,EERR!E:E)</f>
        <v>549545463</v>
      </c>
      <c r="C7" s="216"/>
      <c r="D7" s="136">
        <v>776818190</v>
      </c>
    </row>
    <row r="8" spans="1:6" x14ac:dyDescent="0.25">
      <c r="A8" s="147" t="s">
        <v>381</v>
      </c>
      <c r="B8" s="136">
        <f>-SUMIF(EERR!B:B,A8,EERR!E:E)</f>
        <v>343144393</v>
      </c>
      <c r="C8" s="216"/>
      <c r="D8" s="136">
        <v>444299634</v>
      </c>
    </row>
    <row r="9" spans="1:6" x14ac:dyDescent="0.25">
      <c r="A9" s="147" t="s">
        <v>380</v>
      </c>
      <c r="B9" s="136">
        <f>-SUMIF(EERR!B:B,A9,EERR!E:E)</f>
        <v>409083901</v>
      </c>
      <c r="C9" s="216"/>
      <c r="D9" s="136">
        <v>438389869</v>
      </c>
      <c r="E9" s="136"/>
    </row>
    <row r="10" spans="1:6" x14ac:dyDescent="0.25">
      <c r="A10" s="147" t="s">
        <v>382</v>
      </c>
      <c r="B10" s="136">
        <f>-SUMIF(EERR!B:B,A10,EERR!E:E)</f>
        <v>-57453241</v>
      </c>
      <c r="C10" s="216"/>
      <c r="D10" s="136">
        <v>130230542</v>
      </c>
    </row>
    <row r="11" spans="1:6" ht="14.4" thickBot="1" x14ac:dyDescent="0.3">
      <c r="A11" s="139" t="s">
        <v>246</v>
      </c>
      <c r="B11" s="140">
        <f>SUM(B4:B10)</f>
        <v>10178165742</v>
      </c>
      <c r="C11" s="139"/>
      <c r="D11" s="140">
        <f>SUM(D4:D10)</f>
        <v>5355455320</v>
      </c>
    </row>
    <row r="12" spans="1:6" ht="14.4" thickTop="1" x14ac:dyDescent="0.25">
      <c r="A12" s="209" t="s">
        <v>353</v>
      </c>
      <c r="B12" s="210">
        <f>+B11+ER!C16+ER!C17+ER!C18+ER!C19+ER!C20+ER!C21+ER!C22</f>
        <v>0</v>
      </c>
      <c r="C12" s="209"/>
      <c r="D12" s="210">
        <v>0</v>
      </c>
    </row>
    <row r="13" spans="1:6" ht="15.6" x14ac:dyDescent="0.3">
      <c r="A13" s="215"/>
      <c r="B13" s="215"/>
    </row>
    <row r="20" spans="4:4" x14ac:dyDescent="0.25">
      <c r="D20" s="403"/>
    </row>
  </sheetData>
  <mergeCells count="1">
    <mergeCell ref="A1:D1"/>
  </mergeCells>
  <hyperlinks>
    <hyperlink ref="E1" location="Indice!D35" display="Indice" xr:uid="{8EFF3196-D0E2-1F42-9A54-4A070835D433}"/>
    <hyperlink ref="F1" location="ER!C16" display="ER" xr:uid="{F1C1C6F0-EF37-7B41-BA84-33A2E16D0B27}"/>
  </hyperlink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1E27CC-587E-7B48-A122-26B4BB96F50C}">
  <sheetPr>
    <tabColor rgb="FF002060"/>
  </sheetPr>
  <dimension ref="A1:F7"/>
  <sheetViews>
    <sheetView showGridLines="0" zoomScale="120" zoomScaleNormal="120" workbookViewId="0">
      <selection activeCell="B5" sqref="B5"/>
    </sheetView>
  </sheetViews>
  <sheetFormatPr baseColWidth="10" defaultColWidth="10.59765625" defaultRowHeight="14.4" x14ac:dyDescent="0.3"/>
  <cols>
    <col min="1" max="1" width="38.09765625" style="214" customWidth="1"/>
    <col min="2" max="2" width="11.09765625" style="214" bestFit="1" customWidth="1"/>
    <col min="3" max="3" width="2.09765625" style="214" customWidth="1"/>
    <col min="4" max="4" width="11.09765625" style="214" bestFit="1" customWidth="1"/>
    <col min="5" max="5" width="5.3984375" style="166" bestFit="1" customWidth="1"/>
    <col min="6" max="6" width="3.09765625" style="166" bestFit="1" customWidth="1"/>
    <col min="7" max="16384" width="10.59765625" style="166"/>
  </cols>
  <sheetData>
    <row r="1" spans="1:6" ht="17.399999999999999" x14ac:dyDescent="0.3">
      <c r="A1" s="611" t="s">
        <v>383</v>
      </c>
      <c r="B1" s="611"/>
      <c r="C1" s="611"/>
      <c r="D1" s="611"/>
      <c r="E1" s="49" t="s">
        <v>118</v>
      </c>
      <c r="F1" s="183" t="s">
        <v>94</v>
      </c>
    </row>
    <row r="2" spans="1:6" ht="15.6" x14ac:dyDescent="0.3">
      <c r="A2" s="215"/>
      <c r="B2" s="215"/>
      <c r="E2" s="214"/>
      <c r="F2" s="214"/>
    </row>
    <row r="3" spans="1:6" x14ac:dyDescent="0.3">
      <c r="A3" s="133"/>
      <c r="B3" s="132" t="s">
        <v>1534</v>
      </c>
      <c r="C3" s="133"/>
      <c r="D3" s="132" t="s">
        <v>478</v>
      </c>
      <c r="E3" s="214"/>
      <c r="F3" s="214"/>
    </row>
    <row r="4" spans="1:6" x14ac:dyDescent="0.3">
      <c r="A4" s="28" t="s">
        <v>384</v>
      </c>
      <c r="B4" s="136">
        <f>-SUMIF(EERR!B:B,A4,EERR!E:E)</f>
        <v>0</v>
      </c>
      <c r="C4" s="136"/>
      <c r="D4" s="136">
        <v>317584545</v>
      </c>
      <c r="E4" s="214"/>
    </row>
    <row r="5" spans="1:6" x14ac:dyDescent="0.3">
      <c r="A5" s="147" t="s">
        <v>385</v>
      </c>
      <c r="B5" s="136">
        <f>-SUMIF(EERR!B:B,A5,EERR!E:E)</f>
        <v>0</v>
      </c>
      <c r="C5" s="136"/>
      <c r="D5" s="199">
        <v>-550425101</v>
      </c>
      <c r="E5" s="214"/>
    </row>
    <row r="6" spans="1:6" ht="15" thickBot="1" x14ac:dyDescent="0.35">
      <c r="A6" s="139" t="s">
        <v>246</v>
      </c>
      <c r="B6" s="404">
        <f>SUM(B4:B5)</f>
        <v>0</v>
      </c>
      <c r="C6" s="139"/>
      <c r="D6" s="404">
        <f>SUM(D4:D5)</f>
        <v>-232840556</v>
      </c>
      <c r="E6" s="214"/>
      <c r="F6" s="214"/>
    </row>
    <row r="7" spans="1:6" ht="15" thickTop="1" x14ac:dyDescent="0.3">
      <c r="A7" s="209" t="s">
        <v>353</v>
      </c>
      <c r="B7" s="210">
        <v>0</v>
      </c>
      <c r="C7" s="209"/>
      <c r="D7" s="210">
        <v>0</v>
      </c>
      <c r="E7" s="214"/>
      <c r="F7" s="214"/>
    </row>
  </sheetData>
  <mergeCells count="1">
    <mergeCell ref="A1:D1"/>
  </mergeCells>
  <hyperlinks>
    <hyperlink ref="E1" location="Indice!D36" display="Indice" xr:uid="{12DF3DD6-BA64-534A-9D0A-FE22ADDB709C}"/>
    <hyperlink ref="F1" location="ER!C20" display="ER" xr:uid="{CA9B2C2D-31B2-CD48-8F5B-497C808D355A}"/>
  </hyperlink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367BDB-14E5-4043-B3A7-90B119C36C0E}">
  <sheetPr>
    <tabColor rgb="FF002060"/>
  </sheetPr>
  <dimension ref="A1:F10"/>
  <sheetViews>
    <sheetView showGridLines="0" zoomScale="110" zoomScaleNormal="110" workbookViewId="0">
      <selection activeCell="B9" sqref="B9"/>
    </sheetView>
  </sheetViews>
  <sheetFormatPr baseColWidth="10" defaultColWidth="10.59765625" defaultRowHeight="14.4" x14ac:dyDescent="0.3"/>
  <cols>
    <col min="1" max="1" width="33.8984375" style="214" customWidth="1"/>
    <col min="2" max="2" width="13" style="214" bestFit="1" customWidth="1"/>
    <col min="3" max="3" width="2.3984375" style="214" customWidth="1"/>
    <col min="4" max="4" width="13" style="214" bestFit="1" customWidth="1"/>
    <col min="5" max="5" width="5.3984375" style="166" bestFit="1" customWidth="1"/>
    <col min="6" max="6" width="3.09765625" style="166" bestFit="1" customWidth="1"/>
    <col min="7" max="16384" width="10.59765625" style="166"/>
  </cols>
  <sheetData>
    <row r="1" spans="1:6" ht="17.399999999999999" x14ac:dyDescent="0.3">
      <c r="A1" s="611" t="s">
        <v>386</v>
      </c>
      <c r="B1" s="611"/>
      <c r="C1" s="611"/>
      <c r="D1" s="611"/>
      <c r="E1" s="49" t="s">
        <v>118</v>
      </c>
      <c r="F1" s="183" t="s">
        <v>94</v>
      </c>
    </row>
    <row r="2" spans="1:6" ht="15.6" x14ac:dyDescent="0.3">
      <c r="A2" s="215"/>
      <c r="B2" s="215"/>
      <c r="E2" s="214"/>
      <c r="F2" s="214"/>
    </row>
    <row r="3" spans="1:6" x14ac:dyDescent="0.3">
      <c r="A3" s="133"/>
      <c r="B3" s="132" t="s">
        <v>1534</v>
      </c>
      <c r="C3" s="133"/>
      <c r="D3" s="132" t="s">
        <v>478</v>
      </c>
      <c r="E3" s="214"/>
      <c r="F3" s="214"/>
    </row>
    <row r="4" spans="1:6" x14ac:dyDescent="0.3">
      <c r="A4" s="28" t="s">
        <v>389</v>
      </c>
      <c r="B4" s="199">
        <f>SUMIF(EERR!B:B,A4,EERR!E:E)</f>
        <v>94471671</v>
      </c>
      <c r="C4" s="136"/>
      <c r="D4" s="136">
        <v>143510507</v>
      </c>
    </row>
    <row r="5" spans="1:6" x14ac:dyDescent="0.3">
      <c r="A5" s="28" t="s">
        <v>388</v>
      </c>
      <c r="B5" s="199">
        <f>SUMIF(EERR!B:B,A5,EERR!E:E)</f>
        <v>-8138088310</v>
      </c>
      <c r="C5" s="199"/>
      <c r="D5" s="199">
        <v>-4788028954</v>
      </c>
    </row>
    <row r="6" spans="1:6" x14ac:dyDescent="0.3">
      <c r="A6" s="28" t="s">
        <v>390</v>
      </c>
      <c r="B6" s="199">
        <f>SUMIF(EERR!B:B,A6,EERR!E:E)</f>
        <v>-315371504</v>
      </c>
      <c r="C6" s="136"/>
      <c r="D6" s="199">
        <v>-768178327</v>
      </c>
    </row>
    <row r="7" spans="1:6" x14ac:dyDescent="0.3">
      <c r="A7" s="28" t="s">
        <v>387</v>
      </c>
      <c r="B7" s="199">
        <f>SUMIF(EERR!B:B,A7,EERR!E:E)</f>
        <v>983981930</v>
      </c>
      <c r="C7" s="136"/>
      <c r="D7" s="199">
        <v>-654123905</v>
      </c>
    </row>
    <row r="8" spans="1:6" hidden="1" x14ac:dyDescent="0.3">
      <c r="A8" s="28" t="s">
        <v>1493</v>
      </c>
      <c r="B8" s="199">
        <v>0</v>
      </c>
      <c r="C8" s="136"/>
      <c r="D8" s="199">
        <v>0</v>
      </c>
    </row>
    <row r="9" spans="1:6" ht="15" thickBot="1" x14ac:dyDescent="0.35">
      <c r="A9" s="139" t="s">
        <v>246</v>
      </c>
      <c r="B9" s="404">
        <f>SUM(B4:B8)</f>
        <v>-7375006213</v>
      </c>
      <c r="C9" s="404"/>
      <c r="D9" s="404">
        <f>SUM(D4:D8)</f>
        <v>-6066820679</v>
      </c>
      <c r="E9" s="214"/>
      <c r="F9" s="214"/>
    </row>
    <row r="10" spans="1:6" ht="15" thickTop="1" x14ac:dyDescent="0.3">
      <c r="A10" s="209" t="s">
        <v>353</v>
      </c>
      <c r="B10" s="210">
        <f>+B9-ER!C35</f>
        <v>0</v>
      </c>
      <c r="C10" s="209"/>
      <c r="D10" s="210">
        <v>0</v>
      </c>
      <c r="E10" s="214"/>
      <c r="F10" s="214"/>
    </row>
  </sheetData>
  <mergeCells count="1">
    <mergeCell ref="A1:D1"/>
  </mergeCells>
  <hyperlinks>
    <hyperlink ref="E1" location="Indice!D37" display="Indice" xr:uid="{5E5006C5-9E87-6640-A28E-6E5457164E2A}"/>
    <hyperlink ref="F1" location="ER!C24" display="ER" xr:uid="{AF3D2B51-4034-6140-B28E-CE52F54380CB}"/>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D53D1A-A398-42D5-A2BB-CB845AFC19E1}">
  <dimension ref="A2:H245"/>
  <sheetViews>
    <sheetView topLeftCell="A215" zoomScaleNormal="100" workbookViewId="0">
      <selection activeCell="D196" sqref="D196"/>
    </sheetView>
  </sheetViews>
  <sheetFormatPr baseColWidth="10" defaultColWidth="11" defaultRowHeight="10.199999999999999" x14ac:dyDescent="0.2"/>
  <cols>
    <col min="1" max="1" width="28.09765625" style="409" bestFit="1" customWidth="1"/>
    <col min="2" max="2" width="24.3984375" style="409" customWidth="1"/>
    <col min="3" max="3" width="14.8984375" style="409" bestFit="1" customWidth="1"/>
    <col min="4" max="4" width="48.3984375" style="409" bestFit="1" customWidth="1"/>
    <col min="5" max="5" width="16.59765625" style="412" bestFit="1" customWidth="1"/>
    <col min="6" max="6" width="13.3984375" style="409" bestFit="1" customWidth="1"/>
    <col min="7" max="7" width="13.59765625" style="409" bestFit="1" customWidth="1"/>
    <col min="8" max="8" width="10.3984375" style="409" bestFit="1" customWidth="1"/>
    <col min="9" max="16384" width="11" style="409"/>
  </cols>
  <sheetData>
    <row r="2" spans="1:7" x14ac:dyDescent="0.2">
      <c r="A2" s="409" t="s">
        <v>527</v>
      </c>
      <c r="B2" s="409" t="s">
        <v>528</v>
      </c>
      <c r="C2" s="409" t="s">
        <v>529</v>
      </c>
      <c r="D2" s="409" t="s">
        <v>530</v>
      </c>
      <c r="E2" s="410">
        <v>2023</v>
      </c>
      <c r="F2" s="411">
        <v>2022</v>
      </c>
      <c r="G2" s="409" t="s">
        <v>531</v>
      </c>
    </row>
    <row r="3" spans="1:7" ht="13.8" x14ac:dyDescent="0.25">
      <c r="A3" s="566" t="s">
        <v>532</v>
      </c>
      <c r="B3" s="137" t="s">
        <v>244</v>
      </c>
      <c r="C3" s="409" t="s">
        <v>533</v>
      </c>
      <c r="D3" s="409" t="s">
        <v>534</v>
      </c>
      <c r="E3" s="412">
        <f>IFERROR(VLOOKUP(C3,'2023'!A:E,5,FALSE),0)</f>
        <v>882623</v>
      </c>
      <c r="F3" s="413">
        <v>882623</v>
      </c>
    </row>
    <row r="4" spans="1:7" ht="13.8" x14ac:dyDescent="0.25">
      <c r="A4" s="566" t="s">
        <v>532</v>
      </c>
      <c r="B4" s="137" t="s">
        <v>244</v>
      </c>
      <c r="C4" s="409" t="s">
        <v>535</v>
      </c>
      <c r="D4" s="409" t="s">
        <v>536</v>
      </c>
      <c r="E4" s="412">
        <f>IFERROR(VLOOKUP(C4,'2023'!A:E,5,FALSE),0)</f>
        <v>154389233</v>
      </c>
      <c r="F4" s="413">
        <v>286070992</v>
      </c>
    </row>
    <row r="5" spans="1:7" ht="13.8" x14ac:dyDescent="0.25">
      <c r="A5" s="566" t="s">
        <v>532</v>
      </c>
      <c r="B5" s="137" t="s">
        <v>244</v>
      </c>
      <c r="C5" s="409" t="s">
        <v>1475</v>
      </c>
      <c r="D5" s="409" t="s">
        <v>1476</v>
      </c>
      <c r="E5" s="412">
        <f>IFERROR(VLOOKUP(C5,'2023'!A:E,5,FALSE),0)</f>
        <v>728521</v>
      </c>
      <c r="F5" s="413">
        <v>0</v>
      </c>
    </row>
    <row r="6" spans="1:7" ht="13.8" x14ac:dyDescent="0.25">
      <c r="A6" s="566" t="s">
        <v>532</v>
      </c>
      <c r="B6" s="137" t="s">
        <v>244</v>
      </c>
      <c r="C6" s="409" t="s">
        <v>537</v>
      </c>
      <c r="D6" s="409" t="s">
        <v>538</v>
      </c>
      <c r="E6" s="412">
        <f>IFERROR(VLOOKUP(C6,'2023'!A:E,5,FALSE),0)</f>
        <v>15839855</v>
      </c>
      <c r="F6" s="413">
        <v>131314462</v>
      </c>
    </row>
    <row r="7" spans="1:7" ht="13.8" x14ac:dyDescent="0.25">
      <c r="A7" s="566" t="s">
        <v>532</v>
      </c>
      <c r="B7" s="137" t="s">
        <v>244</v>
      </c>
      <c r="C7" s="409" t="s">
        <v>539</v>
      </c>
      <c r="D7" s="409" t="s">
        <v>540</v>
      </c>
      <c r="E7" s="412">
        <f>IFERROR(VLOOKUP(C7,'2023'!A:E,5,FALSE),0)</f>
        <v>4024376</v>
      </c>
      <c r="F7" s="413">
        <v>85465431</v>
      </c>
    </row>
    <row r="8" spans="1:7" ht="13.8" x14ac:dyDescent="0.25">
      <c r="A8" s="566" t="s">
        <v>532</v>
      </c>
      <c r="B8" s="137" t="s">
        <v>244</v>
      </c>
      <c r="C8" s="409" t="s">
        <v>541</v>
      </c>
      <c r="D8" s="409" t="s">
        <v>542</v>
      </c>
      <c r="E8" s="412">
        <f>IFERROR(VLOOKUP(C8,'2023'!A:E,5,FALSE),0)</f>
        <v>16044833</v>
      </c>
      <c r="F8" s="413">
        <v>89366280</v>
      </c>
    </row>
    <row r="9" spans="1:7" ht="13.8" x14ac:dyDescent="0.25">
      <c r="A9" s="566" t="s">
        <v>532</v>
      </c>
      <c r="B9" s="137" t="s">
        <v>244</v>
      </c>
      <c r="C9" s="409" t="s">
        <v>543</v>
      </c>
      <c r="D9" s="409" t="s">
        <v>544</v>
      </c>
      <c r="E9" s="412">
        <f>IFERROR(VLOOKUP(C9,'2023'!A:E,5,FALSE),0)</f>
        <v>13137502</v>
      </c>
      <c r="F9" s="413">
        <v>13291964</v>
      </c>
    </row>
    <row r="10" spans="1:7" ht="13.8" x14ac:dyDescent="0.25">
      <c r="A10" s="566" t="s">
        <v>532</v>
      </c>
      <c r="B10" s="137" t="s">
        <v>242</v>
      </c>
      <c r="C10" s="409" t="s">
        <v>545</v>
      </c>
      <c r="D10" s="409" t="s">
        <v>546</v>
      </c>
      <c r="E10" s="412">
        <f>IFERROR(VLOOKUP(C10,'2023'!A:E,5,FALSE),0)</f>
        <v>794402984</v>
      </c>
      <c r="F10" s="413">
        <v>772834880</v>
      </c>
    </row>
    <row r="11" spans="1:7" ht="13.8" x14ac:dyDescent="0.25">
      <c r="A11" s="566" t="s">
        <v>532</v>
      </c>
      <c r="B11" s="137" t="s">
        <v>242</v>
      </c>
      <c r="C11" s="414" t="s">
        <v>547</v>
      </c>
      <c r="D11" s="414" t="s">
        <v>548</v>
      </c>
      <c r="E11" s="412">
        <f>IFERROR(VLOOKUP(C11,'2023'!A:E,5,FALSE),0)</f>
        <v>164117522</v>
      </c>
      <c r="F11" s="413">
        <v>267799185</v>
      </c>
    </row>
    <row r="12" spans="1:7" ht="13.8" x14ac:dyDescent="0.25">
      <c r="A12" s="566" t="s">
        <v>532</v>
      </c>
      <c r="B12" s="137" t="s">
        <v>242</v>
      </c>
      <c r="C12" s="414" t="s">
        <v>1515</v>
      </c>
      <c r="D12" s="414" t="s">
        <v>548</v>
      </c>
      <c r="E12" s="412">
        <f>IFERROR(VLOOKUP(C12,'2023'!A:E,5,FALSE),0)</f>
        <v>0</v>
      </c>
      <c r="F12" s="413">
        <v>0</v>
      </c>
    </row>
    <row r="13" spans="1:7" ht="13.2" x14ac:dyDescent="0.25">
      <c r="A13" s="566" t="s">
        <v>532</v>
      </c>
      <c r="B13" s="135" t="s">
        <v>243</v>
      </c>
      <c r="C13" s="409" t="s">
        <v>549</v>
      </c>
      <c r="D13" s="409" t="s">
        <v>550</v>
      </c>
      <c r="E13" s="412">
        <f>IFERROR(VLOOKUP(C13,'2023'!A:E,5,FALSE),0)</f>
        <v>8000003</v>
      </c>
      <c r="F13" s="413">
        <v>8000003</v>
      </c>
    </row>
    <row r="14" spans="1:7" ht="13.2" x14ac:dyDescent="0.25">
      <c r="A14" s="566" t="s">
        <v>532</v>
      </c>
      <c r="B14" s="135" t="s">
        <v>243</v>
      </c>
      <c r="C14" s="409" t="s">
        <v>551</v>
      </c>
      <c r="D14" s="409" t="s">
        <v>552</v>
      </c>
      <c r="E14" s="412">
        <f>IFERROR(VLOOKUP(C14,'2023'!A:E,5,FALSE),0)</f>
        <v>10000000</v>
      </c>
      <c r="F14" s="413">
        <v>10000000</v>
      </c>
    </row>
    <row r="15" spans="1:7" ht="13.2" x14ac:dyDescent="0.25">
      <c r="A15" s="566" t="s">
        <v>532</v>
      </c>
      <c r="B15" s="135" t="s">
        <v>243</v>
      </c>
      <c r="C15" s="409" t="s">
        <v>553</v>
      </c>
      <c r="D15" s="409" t="s">
        <v>554</v>
      </c>
      <c r="E15" s="412">
        <f>IFERROR(VLOOKUP(C15,'2023'!A:E,5,FALSE),0)</f>
        <v>5000000</v>
      </c>
      <c r="F15" s="413">
        <v>4000000</v>
      </c>
    </row>
    <row r="16" spans="1:7" ht="13.2" x14ac:dyDescent="0.25">
      <c r="A16" s="566" t="s">
        <v>532</v>
      </c>
      <c r="B16" s="135" t="s">
        <v>243</v>
      </c>
      <c r="C16" s="409" t="s">
        <v>555</v>
      </c>
      <c r="D16" s="409" t="s">
        <v>556</v>
      </c>
      <c r="E16" s="412">
        <f>IFERROR(VLOOKUP(C16,'2023'!A:E,5,FALSE),0)</f>
        <v>5000000</v>
      </c>
      <c r="F16" s="413">
        <v>5000000</v>
      </c>
    </row>
    <row r="17" spans="1:6" ht="13.2" x14ac:dyDescent="0.25">
      <c r="A17" s="566" t="s">
        <v>532</v>
      </c>
      <c r="B17" s="135" t="s">
        <v>243</v>
      </c>
      <c r="C17" s="409" t="s">
        <v>557</v>
      </c>
      <c r="D17" s="409" t="s">
        <v>558</v>
      </c>
      <c r="E17" s="412">
        <f>IFERROR(VLOOKUP(C17,'2023'!A:E,5,FALSE),0)</f>
        <v>6000000</v>
      </c>
      <c r="F17" s="413">
        <v>6000000</v>
      </c>
    </row>
    <row r="18" spans="1:6" ht="13.2" x14ac:dyDescent="0.25">
      <c r="A18" s="566" t="s">
        <v>532</v>
      </c>
      <c r="B18" s="135" t="s">
        <v>243</v>
      </c>
      <c r="C18" s="409" t="s">
        <v>559</v>
      </c>
      <c r="D18" s="409" t="s">
        <v>560</v>
      </c>
      <c r="E18" s="412">
        <f>IFERROR(VLOOKUP(C18,'2023'!A:E,5,FALSE),0)</f>
        <v>5000000</v>
      </c>
      <c r="F18" s="413">
        <v>5000000</v>
      </c>
    </row>
    <row r="19" spans="1:6" ht="13.2" x14ac:dyDescent="0.25">
      <c r="A19" s="566" t="s">
        <v>532</v>
      </c>
      <c r="B19" s="135" t="s">
        <v>243</v>
      </c>
      <c r="C19" s="409" t="s">
        <v>561</v>
      </c>
      <c r="D19" s="409" t="s">
        <v>562</v>
      </c>
      <c r="E19" s="412">
        <f>IFERROR(VLOOKUP(C19,'2023'!A:E,5,FALSE),0)</f>
        <v>0</v>
      </c>
      <c r="F19" s="413">
        <v>0</v>
      </c>
    </row>
    <row r="20" spans="1:6" ht="13.2" x14ac:dyDescent="0.25">
      <c r="A20" s="566" t="s">
        <v>532</v>
      </c>
      <c r="B20" s="135" t="s">
        <v>243</v>
      </c>
      <c r="C20" s="409" t="s">
        <v>563</v>
      </c>
      <c r="D20" s="409" t="s">
        <v>564</v>
      </c>
      <c r="E20" s="412">
        <f>IFERROR(VLOOKUP(C20,'2023'!A:E,5,FALSE),0)</f>
        <v>5000000</v>
      </c>
      <c r="F20" s="413">
        <v>5000000</v>
      </c>
    </row>
    <row r="21" spans="1:6" ht="13.2" x14ac:dyDescent="0.25">
      <c r="A21" s="566" t="s">
        <v>532</v>
      </c>
      <c r="B21" s="135" t="s">
        <v>243</v>
      </c>
      <c r="C21" s="409" t="s">
        <v>565</v>
      </c>
      <c r="D21" s="409" t="s">
        <v>566</v>
      </c>
      <c r="E21" s="412">
        <f>IFERROR(VLOOKUP(C21,'2023'!A:E,5,FALSE),0)</f>
        <v>5000000</v>
      </c>
      <c r="F21" s="413">
        <v>4000000</v>
      </c>
    </row>
    <row r="22" spans="1:6" ht="13.2" x14ac:dyDescent="0.25">
      <c r="A22" s="566" t="s">
        <v>532</v>
      </c>
      <c r="B22" s="135" t="s">
        <v>243</v>
      </c>
      <c r="C22" s="409" t="s">
        <v>567</v>
      </c>
      <c r="D22" s="409" t="s">
        <v>568</v>
      </c>
      <c r="E22" s="412">
        <f>IFERROR(VLOOKUP(C22,'2023'!A:E,5,FALSE),0)</f>
        <v>7000000</v>
      </c>
      <c r="F22" s="413">
        <v>7000000</v>
      </c>
    </row>
    <row r="23" spans="1:6" ht="13.2" x14ac:dyDescent="0.25">
      <c r="A23" s="566" t="s">
        <v>532</v>
      </c>
      <c r="B23" s="135" t="s">
        <v>243</v>
      </c>
      <c r="C23" s="409" t="s">
        <v>569</v>
      </c>
      <c r="D23" s="409" t="s">
        <v>570</v>
      </c>
      <c r="E23" s="412">
        <f>IFERROR(VLOOKUP(C23,'2023'!A:E,5,FALSE),0)</f>
        <v>2000000</v>
      </c>
      <c r="F23" s="413">
        <v>2000000</v>
      </c>
    </row>
    <row r="24" spans="1:6" ht="13.2" x14ac:dyDescent="0.25">
      <c r="A24" s="566" t="s">
        <v>532</v>
      </c>
      <c r="B24" s="135" t="s">
        <v>237</v>
      </c>
      <c r="C24" s="409" t="s">
        <v>571</v>
      </c>
      <c r="D24" s="409" t="s">
        <v>572</v>
      </c>
      <c r="E24" s="412">
        <f>IFERROR(VLOOKUP(C24,'2023'!A:E,5,FALSE),0)</f>
        <v>2821726709</v>
      </c>
      <c r="F24" s="413">
        <v>1430513111</v>
      </c>
    </row>
    <row r="25" spans="1:6" ht="13.2" x14ac:dyDescent="0.25">
      <c r="A25" s="566" t="s">
        <v>532</v>
      </c>
      <c r="B25" s="135" t="s">
        <v>237</v>
      </c>
      <c r="C25" s="409" t="s">
        <v>573</v>
      </c>
      <c r="D25" s="409" t="s">
        <v>574</v>
      </c>
      <c r="E25" s="412">
        <f>IFERROR(VLOOKUP(C25,'2023'!A:E,5,FALSE),0)</f>
        <v>424577972</v>
      </c>
      <c r="F25" s="413">
        <v>439846358</v>
      </c>
    </row>
    <row r="26" spans="1:6" ht="13.2" x14ac:dyDescent="0.25">
      <c r="A26" s="566" t="s">
        <v>532</v>
      </c>
      <c r="B26" s="135" t="s">
        <v>237</v>
      </c>
      <c r="C26" s="409" t="s">
        <v>575</v>
      </c>
      <c r="D26" s="409" t="s">
        <v>576</v>
      </c>
      <c r="E26" s="412">
        <f>IFERROR(VLOOKUP(C26,'2023'!A:E,5,FALSE),0)</f>
        <v>965446124</v>
      </c>
      <c r="F26" s="413">
        <v>914348255</v>
      </c>
    </row>
    <row r="27" spans="1:6" ht="13.2" x14ac:dyDescent="0.25">
      <c r="A27" s="566" t="s">
        <v>532</v>
      </c>
      <c r="B27" s="135" t="s">
        <v>237</v>
      </c>
      <c r="C27" s="409" t="s">
        <v>577</v>
      </c>
      <c r="D27" s="409" t="s">
        <v>578</v>
      </c>
      <c r="E27" s="412">
        <f>IFERROR(VLOOKUP(C27,'2023'!A:E,5,FALSE),0)</f>
        <v>143476410</v>
      </c>
      <c r="F27" s="413">
        <v>553213572</v>
      </c>
    </row>
    <row r="28" spans="1:6" ht="13.2" x14ac:dyDescent="0.25">
      <c r="A28" s="566" t="s">
        <v>532</v>
      </c>
      <c r="B28" s="135" t="s">
        <v>237</v>
      </c>
      <c r="C28" s="414" t="s">
        <v>579</v>
      </c>
      <c r="D28" s="414" t="s">
        <v>580</v>
      </c>
      <c r="E28" s="412">
        <f>IFERROR(VLOOKUP(C28,'2023'!A:E,5,FALSE),0)</f>
        <v>0</v>
      </c>
      <c r="F28" s="413">
        <v>0</v>
      </c>
    </row>
    <row r="29" spans="1:6" ht="13.2" x14ac:dyDescent="0.25">
      <c r="A29" s="566" t="s">
        <v>532</v>
      </c>
      <c r="B29" s="135" t="s">
        <v>237</v>
      </c>
      <c r="C29" s="409" t="s">
        <v>581</v>
      </c>
      <c r="D29" s="409" t="s">
        <v>582</v>
      </c>
      <c r="E29" s="412">
        <f>IFERROR(VLOOKUP(C29,'2023'!A:E,5,FALSE),0)</f>
        <v>25777363</v>
      </c>
      <c r="F29" s="413">
        <v>19208420</v>
      </c>
    </row>
    <row r="30" spans="1:6" ht="13.2" x14ac:dyDescent="0.25">
      <c r="A30" s="566" t="s">
        <v>532</v>
      </c>
      <c r="B30" s="135" t="s">
        <v>237</v>
      </c>
      <c r="C30" s="409" t="s">
        <v>1516</v>
      </c>
      <c r="D30" s="409" t="s">
        <v>1525</v>
      </c>
      <c r="E30" s="412">
        <f>IFERROR(VLOOKUP(C30,'2023'!A:E,5,FALSE),0)</f>
        <v>35848505</v>
      </c>
      <c r="F30" s="413">
        <v>0</v>
      </c>
    </row>
    <row r="31" spans="1:6" ht="13.2" x14ac:dyDescent="0.25">
      <c r="A31" s="566" t="s">
        <v>532</v>
      </c>
      <c r="B31" s="135" t="s">
        <v>238</v>
      </c>
      <c r="C31" s="409" t="s">
        <v>583</v>
      </c>
      <c r="D31" s="409" t="s">
        <v>584</v>
      </c>
      <c r="E31" s="412">
        <f>IFERROR(VLOOKUP(C31,'2023'!A:E,5,FALSE),0)</f>
        <v>306718</v>
      </c>
      <c r="F31" s="413">
        <v>1027720505</v>
      </c>
    </row>
    <row r="32" spans="1:6" ht="13.8" x14ac:dyDescent="0.25">
      <c r="A32" s="566" t="s">
        <v>532</v>
      </c>
      <c r="B32" s="137" t="s">
        <v>240</v>
      </c>
      <c r="C32" s="409" t="s">
        <v>585</v>
      </c>
      <c r="D32" s="409" t="s">
        <v>586</v>
      </c>
      <c r="E32" s="412">
        <f>IFERROR(VLOOKUP(C32,'2023'!A:E,5,FALSE),0)</f>
        <v>3236405611</v>
      </c>
      <c r="F32" s="413">
        <v>1446354547</v>
      </c>
    </row>
    <row r="33" spans="1:6" ht="13.8" x14ac:dyDescent="0.25">
      <c r="A33" s="566" t="s">
        <v>532</v>
      </c>
      <c r="B33" s="137" t="s">
        <v>240</v>
      </c>
      <c r="C33" s="409" t="s">
        <v>1517</v>
      </c>
      <c r="D33" s="409" t="s">
        <v>1526</v>
      </c>
      <c r="E33" s="412">
        <f>IFERROR(VLOOKUP(C33,'2023'!A:E,5,FALSE),0)</f>
        <v>43710000</v>
      </c>
      <c r="F33" s="413">
        <v>0</v>
      </c>
    </row>
    <row r="34" spans="1:6" ht="13.2" x14ac:dyDescent="0.25">
      <c r="A34" s="566" t="s">
        <v>532</v>
      </c>
      <c r="B34" s="135" t="s">
        <v>241</v>
      </c>
      <c r="C34" s="409" t="s">
        <v>587</v>
      </c>
      <c r="D34" s="409" t="s">
        <v>588</v>
      </c>
      <c r="E34" s="412">
        <f>IFERROR(VLOOKUP(C34,'2023'!A:E,5,FALSE),0)</f>
        <v>752308779</v>
      </c>
      <c r="F34" s="413">
        <v>62025</v>
      </c>
    </row>
    <row r="35" spans="1:6" ht="13.2" x14ac:dyDescent="0.25">
      <c r="A35" s="566" t="s">
        <v>532</v>
      </c>
      <c r="B35" s="135" t="s">
        <v>239</v>
      </c>
      <c r="C35" s="409" t="s">
        <v>589</v>
      </c>
      <c r="D35" s="409" t="s">
        <v>590</v>
      </c>
      <c r="E35" s="412">
        <f>IFERROR(VLOOKUP(C35,'2023'!A:E,5,FALSE),0)</f>
        <v>379071</v>
      </c>
      <c r="F35" s="413">
        <v>370978</v>
      </c>
    </row>
    <row r="36" spans="1:6" ht="13.2" x14ac:dyDescent="0.25">
      <c r="A36" s="566" t="s">
        <v>532</v>
      </c>
      <c r="B36" s="135" t="s">
        <v>521</v>
      </c>
      <c r="C36" s="409" t="s">
        <v>591</v>
      </c>
      <c r="D36" s="409" t="s">
        <v>592</v>
      </c>
      <c r="E36" s="412">
        <f>IFERROR(VLOOKUP(C36,'2023'!A:E,5,FALSE),0)</f>
        <v>303559698</v>
      </c>
      <c r="F36" s="413">
        <v>614639857</v>
      </c>
    </row>
    <row r="37" spans="1:6" ht="13.8" x14ac:dyDescent="0.25">
      <c r="A37" s="566" t="s">
        <v>532</v>
      </c>
      <c r="B37" s="137" t="s">
        <v>240</v>
      </c>
      <c r="C37" s="409" t="s">
        <v>593</v>
      </c>
      <c r="D37" s="409" t="s">
        <v>594</v>
      </c>
      <c r="E37" s="412">
        <f>IFERROR(VLOOKUP(C37,'2023'!A:E,5,FALSE),0)</f>
        <v>120282</v>
      </c>
      <c r="F37" s="413">
        <v>120828</v>
      </c>
    </row>
    <row r="38" spans="1:6" ht="13.8" x14ac:dyDescent="0.25">
      <c r="A38" s="566" t="s">
        <v>532</v>
      </c>
      <c r="B38" s="137" t="s">
        <v>240</v>
      </c>
      <c r="C38" s="409" t="s">
        <v>595</v>
      </c>
      <c r="D38" s="409" t="s">
        <v>596</v>
      </c>
      <c r="E38" s="412">
        <f>IFERROR(VLOOKUP(C38,'2023'!A:E,5,FALSE),0)</f>
        <v>601773571</v>
      </c>
      <c r="F38" s="413">
        <v>214647014</v>
      </c>
    </row>
    <row r="39" spans="1:6" ht="13.8" x14ac:dyDescent="0.25">
      <c r="A39" s="566" t="s">
        <v>532</v>
      </c>
      <c r="B39" s="137" t="s">
        <v>240</v>
      </c>
      <c r="C39" s="414" t="s">
        <v>1497</v>
      </c>
      <c r="D39" s="414" t="s">
        <v>1498</v>
      </c>
      <c r="E39" s="412">
        <f>IFERROR(VLOOKUP(C39,'2023'!A:E,5,FALSE),0)</f>
        <v>124257704</v>
      </c>
      <c r="F39" s="413">
        <v>0</v>
      </c>
    </row>
    <row r="40" spans="1:6" ht="13.2" x14ac:dyDescent="0.25">
      <c r="A40" s="566" t="s">
        <v>532</v>
      </c>
      <c r="B40" s="135" t="s">
        <v>237</v>
      </c>
      <c r="C40" s="409" t="s">
        <v>597</v>
      </c>
      <c r="D40" s="409" t="s">
        <v>598</v>
      </c>
      <c r="E40" s="412">
        <f>IFERROR(VLOOKUP(C40,'2023'!A:E,5,FALSE),0)</f>
        <v>45738770</v>
      </c>
      <c r="F40" s="413">
        <v>75173966</v>
      </c>
    </row>
    <row r="41" spans="1:6" ht="13.2" x14ac:dyDescent="0.25">
      <c r="A41" s="566" t="s">
        <v>532</v>
      </c>
      <c r="B41" s="135" t="s">
        <v>245</v>
      </c>
      <c r="C41" s="409" t="s">
        <v>599</v>
      </c>
      <c r="D41" s="409" t="s">
        <v>600</v>
      </c>
      <c r="E41" s="412">
        <f>IFERROR(VLOOKUP(C41,'2023'!A:E,5,FALSE),0)</f>
        <v>30000000</v>
      </c>
      <c r="F41" s="413">
        <v>30000000</v>
      </c>
    </row>
    <row r="42" spans="1:6" ht="13.2" x14ac:dyDescent="0.25">
      <c r="A42" s="566" t="s">
        <v>532</v>
      </c>
      <c r="B42" s="135" t="s">
        <v>245</v>
      </c>
      <c r="C42" s="409" t="s">
        <v>601</v>
      </c>
      <c r="D42" s="409" t="s">
        <v>602</v>
      </c>
      <c r="E42" s="412">
        <f>IFERROR(VLOOKUP(C42,'2023'!A:E,5,FALSE),0)</f>
        <v>4223873</v>
      </c>
      <c r="F42" s="413">
        <v>3979457</v>
      </c>
    </row>
    <row r="43" spans="1:6" ht="13.2" x14ac:dyDescent="0.25">
      <c r="A43" s="566" t="s">
        <v>532</v>
      </c>
      <c r="B43" s="135" t="s">
        <v>245</v>
      </c>
      <c r="C43" s="409" t="s">
        <v>603</v>
      </c>
      <c r="D43" s="409" t="s">
        <v>604</v>
      </c>
      <c r="E43" s="412">
        <f>IFERROR(VLOOKUP(C43,'2023'!A:E,5,FALSE),0)</f>
        <v>0</v>
      </c>
      <c r="F43" s="413">
        <v>0</v>
      </c>
    </row>
    <row r="44" spans="1:6" ht="13.2" x14ac:dyDescent="0.25">
      <c r="A44" s="566" t="s">
        <v>605</v>
      </c>
      <c r="B44" s="147" t="s">
        <v>250</v>
      </c>
      <c r="C44" s="409" t="s">
        <v>606</v>
      </c>
      <c r="D44" s="409" t="s">
        <v>607</v>
      </c>
      <c r="E44" s="412">
        <f>IFERROR(VLOOKUP(C44,'2023'!A:E,5,FALSE),0)</f>
        <v>20201794300</v>
      </c>
      <c r="F44" s="413">
        <v>8440997636</v>
      </c>
    </row>
    <row r="45" spans="1:6" ht="13.8" x14ac:dyDescent="0.25">
      <c r="A45" s="566" t="s">
        <v>608</v>
      </c>
      <c r="B45" s="147" t="s">
        <v>256</v>
      </c>
      <c r="C45" s="409" t="s">
        <v>610</v>
      </c>
      <c r="D45" s="409" t="s">
        <v>609</v>
      </c>
      <c r="E45" s="412">
        <f>IFERROR(VLOOKUP(C45,'2023'!A:E,5,FALSE),0)</f>
        <v>416527296</v>
      </c>
      <c r="F45" s="413">
        <v>530679587</v>
      </c>
    </row>
    <row r="46" spans="1:6" ht="13.2" x14ac:dyDescent="0.25">
      <c r="A46" s="566" t="s">
        <v>605</v>
      </c>
      <c r="B46" s="147" t="s">
        <v>249</v>
      </c>
      <c r="C46" s="409" t="s">
        <v>611</v>
      </c>
      <c r="D46" s="409" t="s">
        <v>612</v>
      </c>
      <c r="E46" s="412">
        <f>IFERROR(VLOOKUP(C46,'2023'!A:E,5,FALSE),0)</f>
        <v>1915408921</v>
      </c>
      <c r="F46" s="413">
        <v>2781301189</v>
      </c>
    </row>
    <row r="47" spans="1:6" ht="13.2" x14ac:dyDescent="0.25">
      <c r="A47" s="566" t="s">
        <v>605</v>
      </c>
      <c r="B47" s="147" t="s">
        <v>249</v>
      </c>
      <c r="C47" s="409" t="s">
        <v>613</v>
      </c>
      <c r="D47" s="409" t="s">
        <v>614</v>
      </c>
      <c r="E47" s="412">
        <f>IFERROR(VLOOKUP(C47,'2023'!A:E,5,FALSE),0)</f>
        <v>1237336433</v>
      </c>
      <c r="F47" s="413">
        <v>873221261</v>
      </c>
    </row>
    <row r="48" spans="1:6" ht="13.2" x14ac:dyDescent="0.25">
      <c r="A48" s="566" t="s">
        <v>605</v>
      </c>
      <c r="B48" s="147" t="s">
        <v>249</v>
      </c>
      <c r="C48" s="409" t="s">
        <v>615</v>
      </c>
      <c r="D48" s="409" t="s">
        <v>616</v>
      </c>
      <c r="E48" s="412">
        <f>IFERROR(VLOOKUP(C48,'2023'!A:E,5,FALSE),0)</f>
        <v>7567855771</v>
      </c>
      <c r="F48" s="413">
        <v>7462318375</v>
      </c>
    </row>
    <row r="49" spans="1:7" ht="13.2" x14ac:dyDescent="0.25">
      <c r="A49" s="566" t="s">
        <v>605</v>
      </c>
      <c r="B49" s="147" t="s">
        <v>251</v>
      </c>
      <c r="C49" s="409" t="s">
        <v>617</v>
      </c>
      <c r="D49" s="409" t="s">
        <v>618</v>
      </c>
      <c r="E49" s="412">
        <f>IFERROR(VLOOKUP(C49,'2023'!A:E,5,FALSE),0)</f>
        <v>1271950204</v>
      </c>
      <c r="F49" s="413">
        <v>1355593685</v>
      </c>
    </row>
    <row r="50" spans="1:7" ht="13.2" x14ac:dyDescent="0.25">
      <c r="A50" s="566" t="s">
        <v>605</v>
      </c>
      <c r="B50" s="147" t="s">
        <v>251</v>
      </c>
      <c r="C50" s="409" t="s">
        <v>619</v>
      </c>
      <c r="D50" s="409" t="s">
        <v>620</v>
      </c>
      <c r="E50" s="412">
        <f>IFERROR(VLOOKUP(C50,'2023'!A:E,5,FALSE),0)</f>
        <v>8999668</v>
      </c>
      <c r="F50" s="413">
        <v>0</v>
      </c>
    </row>
    <row r="51" spans="1:7" ht="13.8" x14ac:dyDescent="0.25">
      <c r="A51" s="566" t="s">
        <v>608</v>
      </c>
      <c r="B51" s="147" t="s">
        <v>257</v>
      </c>
      <c r="C51" s="409" t="s">
        <v>622</v>
      </c>
      <c r="D51" s="409" t="s">
        <v>621</v>
      </c>
      <c r="E51" s="412">
        <f>IFERROR(VLOOKUP(C51,'2023'!A:E,5,FALSE),0)</f>
        <v>5846254433</v>
      </c>
      <c r="F51" s="413">
        <v>5592293787</v>
      </c>
    </row>
    <row r="52" spans="1:7" ht="13.2" x14ac:dyDescent="0.25">
      <c r="A52" s="566" t="s">
        <v>605</v>
      </c>
      <c r="B52" s="147" t="s">
        <v>252</v>
      </c>
      <c r="C52" s="409" t="s">
        <v>623</v>
      </c>
      <c r="D52" s="409" t="s">
        <v>624</v>
      </c>
      <c r="E52" s="412">
        <f>IFERROR(VLOOKUP(C52,'2023'!A:E,5,FALSE),0)</f>
        <v>46668771</v>
      </c>
      <c r="F52" s="413">
        <v>45205707</v>
      </c>
    </row>
    <row r="53" spans="1:7" ht="13.2" x14ac:dyDescent="0.25">
      <c r="A53" s="566" t="s">
        <v>605</v>
      </c>
      <c r="B53" s="147" t="s">
        <v>253</v>
      </c>
      <c r="C53" s="409" t="s">
        <v>625</v>
      </c>
      <c r="D53" s="409" t="s">
        <v>626</v>
      </c>
      <c r="E53" s="412">
        <f>IFERROR(VLOOKUP(C53,'2023'!A:E,5,FALSE),0)</f>
        <v>25301740</v>
      </c>
      <c r="F53" s="413">
        <v>19399237</v>
      </c>
    </row>
    <row r="54" spans="1:7" ht="13.2" x14ac:dyDescent="0.25">
      <c r="A54" s="566" t="s">
        <v>605</v>
      </c>
      <c r="B54" s="147" t="s">
        <v>254</v>
      </c>
      <c r="C54" s="409" t="s">
        <v>627</v>
      </c>
      <c r="D54" s="409" t="s">
        <v>167</v>
      </c>
      <c r="E54" s="412">
        <f>IFERROR(VLOOKUP(C54,'2023'!A:E,5,FALSE),0)</f>
        <v>-8211010350</v>
      </c>
      <c r="F54" s="413">
        <v>-8211056292</v>
      </c>
    </row>
    <row r="55" spans="1:7" ht="13.2" x14ac:dyDescent="0.25">
      <c r="A55" s="566" t="s">
        <v>608</v>
      </c>
      <c r="B55" s="135" t="s">
        <v>270</v>
      </c>
      <c r="C55" s="409" t="s">
        <v>628</v>
      </c>
      <c r="D55" s="409" t="s">
        <v>629</v>
      </c>
      <c r="E55" s="412">
        <f>IFERROR(VLOOKUP(C55,'2023'!A:E,5,FALSE),0)</f>
        <v>0</v>
      </c>
      <c r="F55" s="413">
        <v>787241992</v>
      </c>
    </row>
    <row r="56" spans="1:7" ht="13.2" x14ac:dyDescent="0.25">
      <c r="A56" s="566" t="s">
        <v>608</v>
      </c>
      <c r="B56" s="135" t="s">
        <v>270</v>
      </c>
      <c r="C56" s="409" t="s">
        <v>630</v>
      </c>
      <c r="D56" s="409" t="s">
        <v>631</v>
      </c>
      <c r="E56" s="412">
        <f>IFERROR(VLOOKUP(C56,'2023'!A:E,5,FALSE),0)</f>
        <v>123593387</v>
      </c>
      <c r="F56" s="413">
        <v>225752730</v>
      </c>
    </row>
    <row r="57" spans="1:7" ht="13.2" x14ac:dyDescent="0.25">
      <c r="A57" s="566" t="s">
        <v>608</v>
      </c>
      <c r="B57" s="135" t="s">
        <v>270</v>
      </c>
      <c r="C57" s="409" t="s">
        <v>632</v>
      </c>
      <c r="D57" s="409" t="s">
        <v>633</v>
      </c>
      <c r="E57" s="412">
        <f>IFERROR(VLOOKUP(C57,'2023'!A:E,5,FALSE),0)</f>
        <v>363414864</v>
      </c>
      <c r="F57" s="413">
        <v>75414864</v>
      </c>
    </row>
    <row r="58" spans="1:7" ht="13.2" x14ac:dyDescent="0.25">
      <c r="A58" s="566" t="s">
        <v>608</v>
      </c>
      <c r="B58" s="135" t="s">
        <v>481</v>
      </c>
      <c r="C58" s="409" t="s">
        <v>634</v>
      </c>
      <c r="D58" s="409" t="s">
        <v>635</v>
      </c>
      <c r="E58" s="412">
        <f>IFERROR(VLOOKUP(C58,'2023'!A:E,5,FALSE),0)</f>
        <v>942533</v>
      </c>
      <c r="F58" s="413">
        <v>1473331</v>
      </c>
    </row>
    <row r="59" spans="1:7" ht="13.2" x14ac:dyDescent="0.25">
      <c r="A59" s="566" t="s">
        <v>608</v>
      </c>
      <c r="B59" s="135" t="s">
        <v>481</v>
      </c>
      <c r="C59" s="409" t="s">
        <v>636</v>
      </c>
      <c r="D59" s="409" t="s">
        <v>637</v>
      </c>
      <c r="E59" s="412">
        <f>IFERROR(VLOOKUP(C59,'2023'!A:E,5,FALSE),0)</f>
        <v>1328922584</v>
      </c>
      <c r="F59" s="413">
        <v>1806076988</v>
      </c>
    </row>
    <row r="60" spans="1:7" ht="13.2" x14ac:dyDescent="0.25">
      <c r="A60" s="566" t="s">
        <v>608</v>
      </c>
      <c r="B60" s="135" t="s">
        <v>481</v>
      </c>
      <c r="C60" s="409" t="s">
        <v>638</v>
      </c>
      <c r="D60" s="409" t="s">
        <v>639</v>
      </c>
      <c r="E60" s="412">
        <f>IFERROR(VLOOKUP(C60,'2023'!A:E,5,FALSE),0)</f>
        <v>243468417</v>
      </c>
      <c r="F60" s="413">
        <v>368111699</v>
      </c>
    </row>
    <row r="61" spans="1:7" ht="13.2" x14ac:dyDescent="0.25">
      <c r="A61" s="566" t="s">
        <v>608</v>
      </c>
      <c r="B61" s="135" t="s">
        <v>272</v>
      </c>
      <c r="C61" s="409" t="s">
        <v>640</v>
      </c>
      <c r="D61" s="409" t="s">
        <v>641</v>
      </c>
      <c r="E61" s="412">
        <f>IFERROR(VLOOKUP(C61,'2023'!A:E,5,FALSE),0)</f>
        <v>570000</v>
      </c>
      <c r="F61" s="413">
        <v>0</v>
      </c>
    </row>
    <row r="62" spans="1:7" ht="13.2" x14ac:dyDescent="0.25">
      <c r="A62" s="566" t="s">
        <v>608</v>
      </c>
      <c r="B62" s="147" t="s">
        <v>266</v>
      </c>
      <c r="C62" s="409" t="s">
        <v>642</v>
      </c>
      <c r="D62" s="409" t="s">
        <v>266</v>
      </c>
      <c r="E62" s="412">
        <f>IFERROR(VLOOKUP(C62,'2023'!A:E,5,FALSE),0)</f>
        <v>542660761</v>
      </c>
      <c r="F62" s="413">
        <v>706949222</v>
      </c>
    </row>
    <row r="63" spans="1:7" ht="13.2" x14ac:dyDescent="0.25">
      <c r="A63" s="566" t="s">
        <v>608</v>
      </c>
      <c r="B63" s="147" t="s">
        <v>266</v>
      </c>
      <c r="C63" s="414" t="s">
        <v>1499</v>
      </c>
      <c r="D63" s="414" t="s">
        <v>1500</v>
      </c>
      <c r="E63" s="412">
        <f>IFERROR(VLOOKUP(C63,'2023'!A:E,5,FALSE),0)</f>
        <v>0</v>
      </c>
      <c r="F63" s="413">
        <v>0</v>
      </c>
    </row>
    <row r="64" spans="1:7" ht="13.2" x14ac:dyDescent="0.25">
      <c r="A64" s="566" t="s">
        <v>771</v>
      </c>
      <c r="B64" s="323" t="s">
        <v>290</v>
      </c>
      <c r="C64" s="409" t="s">
        <v>643</v>
      </c>
      <c r="D64" s="409" t="s">
        <v>644</v>
      </c>
      <c r="E64" s="412">
        <f>IFERROR(VLOOKUP(C64,'2023'!A:E,5,FALSE),0)</f>
        <v>1518612860</v>
      </c>
      <c r="F64" s="413">
        <v>11740344485</v>
      </c>
      <c r="G64" s="419">
        <f>+F64-E64</f>
        <v>10221731625</v>
      </c>
    </row>
    <row r="65" spans="1:6" ht="13.2" x14ac:dyDescent="0.25">
      <c r="A65" s="566" t="s">
        <v>771</v>
      </c>
      <c r="B65" s="323" t="s">
        <v>287</v>
      </c>
      <c r="C65" s="409" t="s">
        <v>645</v>
      </c>
      <c r="D65" s="409" t="s">
        <v>646</v>
      </c>
      <c r="E65" s="412">
        <f>IFERROR(VLOOKUP(C65,'2023'!A:E,5,FALSE),0)</f>
        <v>2406389750</v>
      </c>
      <c r="F65" s="415">
        <v>2685456295</v>
      </c>
    </row>
    <row r="66" spans="1:6" ht="13.2" x14ac:dyDescent="0.25">
      <c r="A66" s="566" t="s">
        <v>647</v>
      </c>
      <c r="B66" s="135" t="s">
        <v>483</v>
      </c>
      <c r="C66" s="409" t="s">
        <v>648</v>
      </c>
      <c r="D66" s="409" t="s">
        <v>649</v>
      </c>
      <c r="E66" s="412">
        <f>IFERROR(VLOOKUP(C66,'2023'!A:E,5,FALSE),0)</f>
        <v>0</v>
      </c>
      <c r="F66" s="415">
        <v>3870500</v>
      </c>
    </row>
    <row r="67" spans="1:6" ht="13.2" x14ac:dyDescent="0.25">
      <c r="A67" s="566" t="s">
        <v>647</v>
      </c>
      <c r="B67" s="567" t="s">
        <v>523</v>
      </c>
      <c r="C67" s="409" t="s">
        <v>650</v>
      </c>
      <c r="D67" s="409" t="s">
        <v>651</v>
      </c>
      <c r="E67" s="412">
        <f>IFERROR(VLOOKUP(C67,'2023'!A:E,5,FALSE),0)</f>
        <v>34665734629</v>
      </c>
      <c r="F67" s="415">
        <v>61909052436</v>
      </c>
    </row>
    <row r="68" spans="1:6" ht="13.2" x14ac:dyDescent="0.25">
      <c r="A68" s="566"/>
      <c r="B68" s="135" t="s">
        <v>483</v>
      </c>
      <c r="C68" s="409" t="s">
        <v>1478</v>
      </c>
      <c r="D68" s="409" t="s">
        <v>1479</v>
      </c>
      <c r="E68" s="412">
        <f>IFERROR(VLOOKUP(C68,'2023'!A:E,5,FALSE),0)</f>
        <v>1908384731</v>
      </c>
      <c r="F68" s="415">
        <v>0</v>
      </c>
    </row>
    <row r="69" spans="1:6" ht="13.2" x14ac:dyDescent="0.25">
      <c r="A69" s="566" t="s">
        <v>608</v>
      </c>
      <c r="B69" s="135" t="s">
        <v>482</v>
      </c>
      <c r="C69" s="409" t="s">
        <v>652</v>
      </c>
      <c r="D69" s="409" t="s">
        <v>653</v>
      </c>
      <c r="E69" s="412">
        <f>IFERROR(VLOOKUP(C69,'2023'!A:E,5,FALSE),0)</f>
        <v>511443915</v>
      </c>
      <c r="F69" s="415">
        <v>627833719</v>
      </c>
    </row>
    <row r="70" spans="1:6" ht="13.2" x14ac:dyDescent="0.25">
      <c r="A70" s="566" t="s">
        <v>608</v>
      </c>
      <c r="B70" s="135" t="s">
        <v>272</v>
      </c>
      <c r="C70" s="409" t="s">
        <v>654</v>
      </c>
      <c r="D70" s="409" t="s">
        <v>655</v>
      </c>
      <c r="E70" s="412">
        <f>IFERROR(VLOOKUP(C70,'2023'!A:E,5,FALSE),0)</f>
        <v>222521360</v>
      </c>
      <c r="F70" s="413">
        <v>0</v>
      </c>
    </row>
    <row r="71" spans="1:6" ht="13.2" x14ac:dyDescent="0.25">
      <c r="A71" s="566" t="s">
        <v>608</v>
      </c>
      <c r="B71" s="135" t="s">
        <v>272</v>
      </c>
      <c r="C71" s="409" t="s">
        <v>656</v>
      </c>
      <c r="D71" s="409" t="s">
        <v>657</v>
      </c>
      <c r="E71" s="412">
        <f>IFERROR(VLOOKUP(C71,'2023'!A:E,5,FALSE),0)</f>
        <v>2859821</v>
      </c>
      <c r="F71" s="413">
        <v>0</v>
      </c>
    </row>
    <row r="72" spans="1:6" ht="13.2" x14ac:dyDescent="0.25">
      <c r="A72" s="566" t="s">
        <v>608</v>
      </c>
      <c r="B72" s="135" t="s">
        <v>272</v>
      </c>
      <c r="C72" s="409" t="s">
        <v>658</v>
      </c>
      <c r="D72" s="409" t="s">
        <v>659</v>
      </c>
      <c r="E72" s="412">
        <f>IFERROR(VLOOKUP(C72,'2023'!A:E,5,FALSE),0)</f>
        <v>0</v>
      </c>
      <c r="F72" s="413">
        <v>0</v>
      </c>
    </row>
    <row r="73" spans="1:6" ht="13.2" x14ac:dyDescent="0.25">
      <c r="A73" s="566" t="s">
        <v>608</v>
      </c>
      <c r="B73" s="135" t="s">
        <v>272</v>
      </c>
      <c r="C73" s="409" t="s">
        <v>660</v>
      </c>
      <c r="D73" s="409" t="s">
        <v>661</v>
      </c>
      <c r="E73" s="412">
        <f>IFERROR(VLOOKUP(C73,'2023'!A:E,5,FALSE),0)</f>
        <v>6319996</v>
      </c>
      <c r="F73" s="413">
        <v>0</v>
      </c>
    </row>
    <row r="74" spans="1:6" ht="13.2" x14ac:dyDescent="0.25">
      <c r="A74" s="566" t="s">
        <v>608</v>
      </c>
      <c r="B74" s="135" t="s">
        <v>272</v>
      </c>
      <c r="C74" s="409" t="s">
        <v>662</v>
      </c>
      <c r="D74" s="409" t="s">
        <v>663</v>
      </c>
      <c r="E74" s="412">
        <f>IFERROR(VLOOKUP(C74,'2023'!A:E,5,FALSE),0)</f>
        <v>0</v>
      </c>
      <c r="F74" s="413">
        <v>0</v>
      </c>
    </row>
    <row r="75" spans="1:6" ht="13.2" x14ac:dyDescent="0.25">
      <c r="A75" s="566" t="s">
        <v>608</v>
      </c>
      <c r="B75" s="135" t="s">
        <v>272</v>
      </c>
      <c r="C75" s="409" t="s">
        <v>664</v>
      </c>
      <c r="D75" s="409" t="s">
        <v>665</v>
      </c>
      <c r="E75" s="412">
        <f>IFERROR(VLOOKUP(C75,'2023'!A:E,5,FALSE),0)</f>
        <v>125000</v>
      </c>
      <c r="F75" s="413">
        <v>0</v>
      </c>
    </row>
    <row r="76" spans="1:6" ht="13.2" x14ac:dyDescent="0.25">
      <c r="A76" s="566" t="s">
        <v>608</v>
      </c>
      <c r="B76" s="135" t="s">
        <v>272</v>
      </c>
      <c r="C76" s="409" t="s">
        <v>666</v>
      </c>
      <c r="D76" s="409" t="s">
        <v>667</v>
      </c>
      <c r="E76" s="412">
        <f>IFERROR(VLOOKUP(C76,'2023'!A:E,5,FALSE),0)</f>
        <v>573534</v>
      </c>
      <c r="F76" s="413">
        <v>0</v>
      </c>
    </row>
    <row r="77" spans="1:6" ht="13.2" x14ac:dyDescent="0.25">
      <c r="A77" s="566" t="s">
        <v>608</v>
      </c>
      <c r="B77" s="135" t="s">
        <v>268</v>
      </c>
      <c r="C77" s="409" t="s">
        <v>668</v>
      </c>
      <c r="D77" s="409" t="s">
        <v>669</v>
      </c>
      <c r="E77" s="412">
        <f>IFERROR(VLOOKUP(C77,'2023'!A:E,5,FALSE),0)</f>
        <v>11191261</v>
      </c>
      <c r="F77" s="413">
        <v>54787055</v>
      </c>
    </row>
    <row r="78" spans="1:6" ht="13.2" x14ac:dyDescent="0.25">
      <c r="A78" s="566" t="s">
        <v>608</v>
      </c>
      <c r="B78" s="135" t="s">
        <v>272</v>
      </c>
      <c r="C78" s="409" t="s">
        <v>670</v>
      </c>
      <c r="D78" s="409" t="s">
        <v>671</v>
      </c>
      <c r="E78" s="412">
        <f>IFERROR(VLOOKUP(C78,'2023'!A:E,5,FALSE),0)</f>
        <v>0</v>
      </c>
      <c r="F78" s="413">
        <v>0</v>
      </c>
    </row>
    <row r="79" spans="1:6" ht="13.2" x14ac:dyDescent="0.25">
      <c r="A79" s="566" t="s">
        <v>608</v>
      </c>
      <c r="B79" s="147" t="s">
        <v>272</v>
      </c>
      <c r="C79" s="409" t="s">
        <v>672</v>
      </c>
      <c r="D79" s="409" t="s">
        <v>673</v>
      </c>
      <c r="E79" s="412">
        <f>IFERROR(VLOOKUP(C79,'2023'!A:E,5,FALSE),0)</f>
        <v>5657146</v>
      </c>
      <c r="F79" s="413">
        <v>0</v>
      </c>
    </row>
    <row r="80" spans="1:6" ht="13.2" x14ac:dyDescent="0.25">
      <c r="A80" s="566" t="s">
        <v>608</v>
      </c>
      <c r="B80" s="147" t="s">
        <v>265</v>
      </c>
      <c r="C80" s="409" t="s">
        <v>674</v>
      </c>
      <c r="D80" s="409" t="s">
        <v>675</v>
      </c>
      <c r="E80" s="412">
        <f>IFERROR(VLOOKUP(C80,'2023'!A:E,5,FALSE),0)</f>
        <v>72502250</v>
      </c>
      <c r="F80" s="413">
        <v>17044949</v>
      </c>
    </row>
    <row r="81" spans="1:6" ht="13.2" x14ac:dyDescent="0.25">
      <c r="A81" s="566" t="s">
        <v>608</v>
      </c>
      <c r="B81" s="147" t="s">
        <v>272</v>
      </c>
      <c r="C81" s="409" t="s">
        <v>676</v>
      </c>
      <c r="D81" s="409" t="s">
        <v>677</v>
      </c>
      <c r="E81" s="412">
        <f>IFERROR(VLOOKUP(C81,'2023'!A:E,5,FALSE),0)</f>
        <v>0</v>
      </c>
      <c r="F81" s="413">
        <v>0</v>
      </c>
    </row>
    <row r="82" spans="1:6" ht="13.2" x14ac:dyDescent="0.25">
      <c r="A82" s="566" t="s">
        <v>608</v>
      </c>
      <c r="B82" s="147" t="s">
        <v>272</v>
      </c>
      <c r="C82" s="409" t="s">
        <v>678</v>
      </c>
      <c r="D82" s="409" t="s">
        <v>679</v>
      </c>
      <c r="E82" s="412">
        <f>IFERROR(VLOOKUP(C82,'2023'!A:E,5,FALSE),0)</f>
        <v>0</v>
      </c>
      <c r="F82" s="413">
        <v>80544361</v>
      </c>
    </row>
    <row r="83" spans="1:6" ht="13.2" x14ac:dyDescent="0.25">
      <c r="A83" s="566" t="s">
        <v>608</v>
      </c>
      <c r="B83" s="147" t="s">
        <v>265</v>
      </c>
      <c r="C83" s="409" t="s">
        <v>680</v>
      </c>
      <c r="D83" s="409" t="s">
        <v>681</v>
      </c>
      <c r="E83" s="412">
        <f>IFERROR(VLOOKUP(C83,'2023'!A:E,5,FALSE),0)</f>
        <v>410381827</v>
      </c>
      <c r="F83" s="413">
        <v>412607076</v>
      </c>
    </row>
    <row r="84" spans="1:6" ht="13.2" x14ac:dyDescent="0.25">
      <c r="A84" s="566" t="s">
        <v>608</v>
      </c>
      <c r="B84" s="147" t="s">
        <v>272</v>
      </c>
      <c r="C84" s="409" t="s">
        <v>682</v>
      </c>
      <c r="D84" s="409" t="s">
        <v>683</v>
      </c>
      <c r="E84" s="412">
        <f>IFERROR(VLOOKUP(C84,'2023'!A:E,5,FALSE),0)</f>
        <v>23252287</v>
      </c>
      <c r="F84" s="413">
        <v>300000</v>
      </c>
    </row>
    <row r="85" spans="1:6" ht="13.2" x14ac:dyDescent="0.25">
      <c r="A85" s="566" t="s">
        <v>608</v>
      </c>
      <c r="B85" s="135" t="s">
        <v>272</v>
      </c>
      <c r="C85" s="414" t="s">
        <v>1501</v>
      </c>
      <c r="D85" s="414" t="s">
        <v>1502</v>
      </c>
      <c r="E85" s="412">
        <f>IFERROR(VLOOKUP(C85,'2023'!A:E,5,FALSE),0)</f>
        <v>2631161500</v>
      </c>
      <c r="F85" s="413"/>
    </row>
    <row r="86" spans="1:6" ht="13.2" x14ac:dyDescent="0.25">
      <c r="A86" s="566" t="s">
        <v>608</v>
      </c>
      <c r="B86" s="135" t="s">
        <v>269</v>
      </c>
      <c r="C86" s="409" t="s">
        <v>684</v>
      </c>
      <c r="D86" s="409" t="s">
        <v>685</v>
      </c>
      <c r="E86" s="412">
        <f>IFERROR(VLOOKUP(C86,'2023'!A:E,5,FALSE),0)</f>
        <v>18559535</v>
      </c>
      <c r="F86" s="413">
        <v>18559535</v>
      </c>
    </row>
    <row r="87" spans="1:6" ht="13.2" x14ac:dyDescent="0.25">
      <c r="A87" s="566" t="s">
        <v>608</v>
      </c>
      <c r="B87" s="135" t="s">
        <v>267</v>
      </c>
      <c r="C87" s="409" t="s">
        <v>686</v>
      </c>
      <c r="D87" s="409" t="s">
        <v>687</v>
      </c>
      <c r="E87" s="412">
        <f>IFERROR(VLOOKUP(C87,'2023'!A:E,5,FALSE),0)</f>
        <v>259241025</v>
      </c>
      <c r="F87" s="413">
        <v>256091856</v>
      </c>
    </row>
    <row r="88" spans="1:6" x14ac:dyDescent="0.2">
      <c r="A88" s="566" t="s">
        <v>608</v>
      </c>
      <c r="B88" s="416" t="s">
        <v>688</v>
      </c>
      <c r="C88" s="409" t="s">
        <v>689</v>
      </c>
      <c r="D88" s="409" t="s">
        <v>690</v>
      </c>
      <c r="E88" s="412">
        <f>IFERROR(VLOOKUP(C88,'2023'!A:E,5,FALSE),0)</f>
        <v>4285714</v>
      </c>
      <c r="F88" s="413">
        <v>4285714</v>
      </c>
    </row>
    <row r="89" spans="1:6" x14ac:dyDescent="0.2">
      <c r="A89" s="409" t="s">
        <v>608</v>
      </c>
      <c r="B89" s="409" t="s">
        <v>691</v>
      </c>
      <c r="C89" s="409" t="s">
        <v>692</v>
      </c>
      <c r="D89" s="409" t="s">
        <v>691</v>
      </c>
      <c r="E89" s="412">
        <f>IFERROR(VLOOKUP(C89,'2023'!A:E,5,FALSE),0)</f>
        <v>0</v>
      </c>
      <c r="F89" s="413">
        <v>0</v>
      </c>
    </row>
    <row r="90" spans="1:6" ht="13.2" x14ac:dyDescent="0.25">
      <c r="A90" s="566" t="s">
        <v>608</v>
      </c>
      <c r="B90" s="135" t="s">
        <v>688</v>
      </c>
      <c r="C90" s="409" t="s">
        <v>693</v>
      </c>
      <c r="D90" s="409" t="s">
        <v>688</v>
      </c>
      <c r="E90" s="412">
        <f>IFERROR(VLOOKUP(C90,'2023'!A:E,5,FALSE),0)</f>
        <v>42047586</v>
      </c>
      <c r="F90" s="413">
        <v>20381286</v>
      </c>
    </row>
    <row r="91" spans="1:6" ht="13.2" x14ac:dyDescent="0.25">
      <c r="A91" s="566" t="s">
        <v>608</v>
      </c>
      <c r="B91" s="135" t="s">
        <v>688</v>
      </c>
      <c r="C91" s="409" t="s">
        <v>694</v>
      </c>
      <c r="D91" s="409" t="s">
        <v>695</v>
      </c>
      <c r="E91" s="412">
        <f>IFERROR(VLOOKUP(C91,'2023'!A:E,5,FALSE),0)</f>
        <v>1525717354</v>
      </c>
      <c r="F91" s="413">
        <v>522564020</v>
      </c>
    </row>
    <row r="92" spans="1:6" ht="13.2" x14ac:dyDescent="0.25">
      <c r="A92" s="566" t="s">
        <v>608</v>
      </c>
      <c r="B92" s="135" t="s">
        <v>688</v>
      </c>
      <c r="C92" s="409" t="s">
        <v>696</v>
      </c>
      <c r="D92" s="409" t="s">
        <v>697</v>
      </c>
      <c r="E92" s="412">
        <f>IFERROR(VLOOKUP(C92,'2023'!A:E,5,FALSE),0)</f>
        <v>189758475</v>
      </c>
      <c r="F92" s="413">
        <v>44687415</v>
      </c>
    </row>
    <row r="93" spans="1:6" ht="13.2" x14ac:dyDescent="0.25">
      <c r="A93" s="409" t="s">
        <v>698</v>
      </c>
      <c r="B93" s="135"/>
      <c r="C93" s="409" t="s">
        <v>699</v>
      </c>
      <c r="D93" s="409" t="s">
        <v>700</v>
      </c>
      <c r="E93" s="534">
        <f>IFERROR(VLOOKUP(C93,'2023'!A:E,5,FALSE),0)</f>
        <v>-5264556528</v>
      </c>
      <c r="F93" s="413">
        <v>-6824788003</v>
      </c>
    </row>
    <row r="94" spans="1:6" ht="13.2" x14ac:dyDescent="0.25">
      <c r="A94" s="566" t="s">
        <v>647</v>
      </c>
      <c r="B94" s="147" t="s">
        <v>276</v>
      </c>
      <c r="C94" s="409" t="s">
        <v>701</v>
      </c>
      <c r="D94" s="409" t="s">
        <v>702</v>
      </c>
      <c r="E94" s="412">
        <f>IFERROR(VLOOKUP(C94,'2023'!A:E,5,FALSE),0)</f>
        <v>32574032359</v>
      </c>
      <c r="F94" s="413">
        <v>44504565995</v>
      </c>
    </row>
    <row r="95" spans="1:6" ht="13.2" x14ac:dyDescent="0.25">
      <c r="A95" s="566" t="s">
        <v>647</v>
      </c>
      <c r="B95" s="147" t="s">
        <v>278</v>
      </c>
      <c r="C95" s="409" t="s">
        <v>703</v>
      </c>
      <c r="D95" s="409" t="s">
        <v>704</v>
      </c>
      <c r="E95" s="412">
        <f>IFERROR(VLOOKUP(C95,'2023'!A:E,5,FALSE),0)</f>
        <v>12055460001</v>
      </c>
      <c r="F95" s="413">
        <v>9161573358</v>
      </c>
    </row>
    <row r="96" spans="1:6" ht="13.2" x14ac:dyDescent="0.25">
      <c r="A96" s="566" t="s">
        <v>647</v>
      </c>
      <c r="B96" s="147" t="s">
        <v>278</v>
      </c>
      <c r="C96" s="409" t="s">
        <v>705</v>
      </c>
      <c r="D96" s="409" t="s">
        <v>706</v>
      </c>
      <c r="E96" s="412">
        <f>IFERROR(VLOOKUP(C96,'2023'!A:E,5,FALSE),0)</f>
        <v>10226689242</v>
      </c>
      <c r="F96" s="413">
        <v>11240311358</v>
      </c>
    </row>
    <row r="97" spans="1:6" ht="13.2" x14ac:dyDescent="0.25">
      <c r="A97" s="566" t="s">
        <v>647</v>
      </c>
      <c r="B97" s="147" t="s">
        <v>279</v>
      </c>
      <c r="C97" s="409" t="s">
        <v>707</v>
      </c>
      <c r="D97" s="409" t="s">
        <v>708</v>
      </c>
      <c r="E97" s="412">
        <f>IFERROR(VLOOKUP(C97,'2023'!A:E,5,FALSE),0)</f>
        <v>5484105773</v>
      </c>
      <c r="F97" s="413">
        <v>10017353858</v>
      </c>
    </row>
    <row r="98" spans="1:6" ht="13.2" x14ac:dyDescent="0.25">
      <c r="A98" s="566" t="s">
        <v>647</v>
      </c>
      <c r="B98" s="147" t="s">
        <v>277</v>
      </c>
      <c r="C98" s="409" t="s">
        <v>709</v>
      </c>
      <c r="D98" s="409" t="s">
        <v>710</v>
      </c>
      <c r="E98" s="412">
        <f>IFERROR(VLOOKUP(C98,'2023'!A:E,5,FALSE),0)</f>
        <v>37443758478</v>
      </c>
      <c r="F98" s="413">
        <v>35137330306</v>
      </c>
    </row>
    <row r="99" spans="1:6" ht="13.2" x14ac:dyDescent="0.25">
      <c r="A99" s="566" t="s">
        <v>647</v>
      </c>
      <c r="B99" s="147" t="s">
        <v>282</v>
      </c>
      <c r="C99" s="409" t="s">
        <v>711</v>
      </c>
      <c r="D99" s="409" t="s">
        <v>712</v>
      </c>
      <c r="E99" s="412">
        <f>IFERROR(VLOOKUP(C99,'2023'!A:E,5,FALSE),0)</f>
        <v>3503462</v>
      </c>
      <c r="F99" s="413">
        <v>9090057</v>
      </c>
    </row>
    <row r="100" spans="1:6" ht="13.2" x14ac:dyDescent="0.25">
      <c r="A100" s="566" t="s">
        <v>647</v>
      </c>
      <c r="B100" s="147" t="s">
        <v>282</v>
      </c>
      <c r="C100" s="409" t="s">
        <v>713</v>
      </c>
      <c r="D100" s="409" t="s">
        <v>714</v>
      </c>
      <c r="E100" s="412">
        <f>IFERROR(VLOOKUP(C100,'2023'!A:E,5,FALSE),0)</f>
        <v>463572531</v>
      </c>
      <c r="F100" s="413">
        <v>357118812</v>
      </c>
    </row>
    <row r="101" spans="1:6" ht="13.2" x14ac:dyDescent="0.25">
      <c r="A101" s="566" t="s">
        <v>647</v>
      </c>
      <c r="B101" s="147" t="s">
        <v>282</v>
      </c>
      <c r="C101" s="409" t="s">
        <v>715</v>
      </c>
      <c r="D101" s="409" t="s">
        <v>716</v>
      </c>
      <c r="E101" s="412">
        <f>IFERROR(VLOOKUP(C101,'2023'!A:E,5,FALSE),0)</f>
        <v>218534930</v>
      </c>
      <c r="F101" s="413">
        <v>629542016</v>
      </c>
    </row>
    <row r="102" spans="1:6" ht="13.2" x14ac:dyDescent="0.25">
      <c r="A102" s="566" t="s">
        <v>647</v>
      </c>
      <c r="B102" s="147" t="s">
        <v>280</v>
      </c>
      <c r="C102" s="409" t="s">
        <v>717</v>
      </c>
      <c r="D102" s="409" t="s">
        <v>718</v>
      </c>
      <c r="E102" s="412">
        <f>IFERROR(VLOOKUP(C102,'2023'!A:E,5,FALSE),0)</f>
        <v>6165622071</v>
      </c>
      <c r="F102" s="413">
        <v>6237480243</v>
      </c>
    </row>
    <row r="103" spans="1:6" ht="13.2" x14ac:dyDescent="0.25">
      <c r="A103" s="566" t="s">
        <v>647</v>
      </c>
      <c r="B103" s="147" t="s">
        <v>282</v>
      </c>
      <c r="C103" s="409" t="s">
        <v>719</v>
      </c>
      <c r="D103" s="409" t="s">
        <v>720</v>
      </c>
      <c r="E103" s="412">
        <f>IFERROR(VLOOKUP(C103,'2023'!A:E,5,FALSE),0)</f>
        <v>-3956096749</v>
      </c>
      <c r="F103" s="413">
        <v>-335772265</v>
      </c>
    </row>
    <row r="104" spans="1:6" ht="13.2" x14ac:dyDescent="0.25">
      <c r="A104" s="566" t="s">
        <v>647</v>
      </c>
      <c r="B104" s="147" t="s">
        <v>281</v>
      </c>
      <c r="C104" s="409" t="s">
        <v>721</v>
      </c>
      <c r="D104" s="409" t="s">
        <v>722</v>
      </c>
      <c r="E104" s="412">
        <f>IFERROR(VLOOKUP(C104,'2023'!A:E,5,FALSE),0)</f>
        <v>103665517</v>
      </c>
      <c r="F104" s="413">
        <v>101772831</v>
      </c>
    </row>
    <row r="105" spans="1:6" ht="13.2" x14ac:dyDescent="0.25">
      <c r="A105" s="566" t="s">
        <v>647</v>
      </c>
      <c r="B105" s="147" t="s">
        <v>281</v>
      </c>
      <c r="C105" s="409" t="s">
        <v>723</v>
      </c>
      <c r="D105" s="409" t="s">
        <v>724</v>
      </c>
      <c r="E105" s="412">
        <f>IFERROR(VLOOKUP(C105,'2023'!A:E,5,FALSE),0)</f>
        <v>11497746731</v>
      </c>
      <c r="F105" s="413">
        <v>10682610094</v>
      </c>
    </row>
    <row r="106" spans="1:6" ht="13.2" x14ac:dyDescent="0.25">
      <c r="A106" s="566" t="s">
        <v>647</v>
      </c>
      <c r="B106" s="147" t="s">
        <v>282</v>
      </c>
      <c r="C106" s="409" t="s">
        <v>725</v>
      </c>
      <c r="D106" s="409" t="s">
        <v>726</v>
      </c>
      <c r="E106" s="412">
        <f>IFERROR(VLOOKUP(C106,'2023'!A:E,5,FALSE),0)</f>
        <v>-48936196</v>
      </c>
      <c r="F106" s="413">
        <v>205078303</v>
      </c>
    </row>
    <row r="107" spans="1:6" ht="13.2" x14ac:dyDescent="0.25">
      <c r="A107" s="566" t="s">
        <v>647</v>
      </c>
      <c r="B107" s="147" t="s">
        <v>282</v>
      </c>
      <c r="C107" s="409" t="s">
        <v>727</v>
      </c>
      <c r="D107" s="409" t="s">
        <v>728</v>
      </c>
      <c r="E107" s="412">
        <f>IFERROR(VLOOKUP(C107,'2023'!A:E,5,FALSE),0)</f>
        <v>-98972199</v>
      </c>
      <c r="F107" s="413">
        <v>0</v>
      </c>
    </row>
    <row r="108" spans="1:6" ht="13.2" x14ac:dyDescent="0.25">
      <c r="A108" s="566" t="s">
        <v>647</v>
      </c>
      <c r="B108" s="147" t="s">
        <v>282</v>
      </c>
      <c r="C108" s="409" t="s">
        <v>729</v>
      </c>
      <c r="D108" s="409" t="s">
        <v>730</v>
      </c>
      <c r="E108" s="412">
        <f>IFERROR(VLOOKUP(C108,'2023'!A:E,5,FALSE),0)</f>
        <v>7441</v>
      </c>
      <c r="F108" s="413">
        <v>0</v>
      </c>
    </row>
    <row r="109" spans="1:6" ht="13.2" x14ac:dyDescent="0.25">
      <c r="A109" s="566" t="s">
        <v>647</v>
      </c>
      <c r="B109" s="147" t="s">
        <v>282</v>
      </c>
      <c r="C109" s="409" t="s">
        <v>731</v>
      </c>
      <c r="D109" s="409" t="s">
        <v>732</v>
      </c>
      <c r="E109" s="412">
        <f>IFERROR(VLOOKUP(C109,'2023'!A:E,5,FALSE),0)</f>
        <v>0</v>
      </c>
      <c r="F109" s="413">
        <v>0</v>
      </c>
    </row>
    <row r="110" spans="1:6" ht="13.2" x14ac:dyDescent="0.25">
      <c r="A110" s="566" t="s">
        <v>647</v>
      </c>
      <c r="B110" s="147" t="s">
        <v>282</v>
      </c>
      <c r="C110" s="409" t="s">
        <v>733</v>
      </c>
      <c r="D110" s="409" t="s">
        <v>734</v>
      </c>
      <c r="E110" s="412">
        <f>IFERROR(VLOOKUP(C110,'2023'!A:E,5,FALSE),0)</f>
        <v>-121</v>
      </c>
      <c r="F110" s="413">
        <v>0</v>
      </c>
    </row>
    <row r="111" spans="1:6" ht="13.2" x14ac:dyDescent="0.25">
      <c r="A111" s="566" t="s">
        <v>647</v>
      </c>
      <c r="B111" s="147" t="s">
        <v>282</v>
      </c>
      <c r="C111" s="409" t="s">
        <v>735</v>
      </c>
      <c r="D111" s="409" t="s">
        <v>736</v>
      </c>
      <c r="E111" s="412">
        <f>IFERROR(VLOOKUP(C111,'2023'!A:E,5,FALSE),0)</f>
        <v>8854749</v>
      </c>
      <c r="F111" s="413">
        <v>7887888</v>
      </c>
    </row>
    <row r="112" spans="1:6" ht="13.2" x14ac:dyDescent="0.25">
      <c r="A112" s="566" t="s">
        <v>647</v>
      </c>
      <c r="B112" s="147" t="s">
        <v>282</v>
      </c>
      <c r="C112" s="409" t="s">
        <v>737</v>
      </c>
      <c r="D112" s="409" t="s">
        <v>738</v>
      </c>
      <c r="E112" s="412">
        <f>IFERROR(VLOOKUP(C112,'2023'!A:E,5,FALSE),0)</f>
        <v>83940131</v>
      </c>
      <c r="F112" s="413">
        <v>80955926</v>
      </c>
    </row>
    <row r="113" spans="1:6" ht="13.2" x14ac:dyDescent="0.25">
      <c r="A113" s="566" t="s">
        <v>647</v>
      </c>
      <c r="B113" s="147" t="s">
        <v>282</v>
      </c>
      <c r="C113" s="409" t="s">
        <v>739</v>
      </c>
      <c r="D113" s="409" t="s">
        <v>740</v>
      </c>
      <c r="E113" s="412">
        <f>IFERROR(VLOOKUP(C113,'2023'!A:E,5,FALSE),0)</f>
        <v>79325177</v>
      </c>
      <c r="F113" s="413">
        <v>76494797</v>
      </c>
    </row>
    <row r="114" spans="1:6" ht="13.2" x14ac:dyDescent="0.25">
      <c r="A114" s="566" t="s">
        <v>647</v>
      </c>
      <c r="B114" s="147" t="s">
        <v>282</v>
      </c>
      <c r="C114" s="414" t="s">
        <v>741</v>
      </c>
      <c r="D114" s="414" t="s">
        <v>742</v>
      </c>
      <c r="E114" s="412">
        <f>IFERROR(VLOOKUP(C114,'2023'!A:E,5,FALSE),0)</f>
        <v>579</v>
      </c>
      <c r="F114" s="413">
        <v>0</v>
      </c>
    </row>
    <row r="115" spans="1:6" ht="13.2" x14ac:dyDescent="0.25">
      <c r="A115" s="566" t="s">
        <v>647</v>
      </c>
      <c r="B115" s="147" t="s">
        <v>282</v>
      </c>
      <c r="C115" s="409" t="s">
        <v>743</v>
      </c>
      <c r="D115" s="409" t="s">
        <v>744</v>
      </c>
      <c r="E115" s="412">
        <f>IFERROR(VLOOKUP(C115,'2023'!A:E,5,FALSE),0)</f>
        <v>149</v>
      </c>
      <c r="F115" s="413">
        <v>0</v>
      </c>
    </row>
    <row r="116" spans="1:6" ht="13.2" x14ac:dyDescent="0.25">
      <c r="A116" s="566" t="s">
        <v>647</v>
      </c>
      <c r="B116" s="147" t="s">
        <v>282</v>
      </c>
      <c r="C116" s="414" t="s">
        <v>745</v>
      </c>
      <c r="D116" s="414" t="s">
        <v>746</v>
      </c>
      <c r="E116" s="412">
        <f>IFERROR(VLOOKUP(C116,'2023'!A:E,5,FALSE),0)</f>
        <v>2097164190</v>
      </c>
      <c r="F116" s="413">
        <v>532821293</v>
      </c>
    </row>
    <row r="117" spans="1:6" ht="13.2" x14ac:dyDescent="0.25">
      <c r="A117" s="566" t="s">
        <v>647</v>
      </c>
      <c r="B117" s="147" t="s">
        <v>282</v>
      </c>
      <c r="C117" s="409" t="s">
        <v>747</v>
      </c>
      <c r="D117" s="409" t="s">
        <v>748</v>
      </c>
      <c r="E117" s="412">
        <f>IFERROR(VLOOKUP(C117,'2023'!A:E,5,FALSE),0)</f>
        <v>0</v>
      </c>
      <c r="F117" s="413">
        <v>0</v>
      </c>
    </row>
    <row r="118" spans="1:6" ht="13.2" x14ac:dyDescent="0.25">
      <c r="A118" s="566" t="s">
        <v>647</v>
      </c>
      <c r="B118" s="147" t="s">
        <v>282</v>
      </c>
      <c r="C118" s="409" t="s">
        <v>749</v>
      </c>
      <c r="D118" s="409" t="s">
        <v>750</v>
      </c>
      <c r="E118" s="412">
        <f>IFERROR(VLOOKUP(C118,'2023'!A:E,5,FALSE),0)</f>
        <v>-23</v>
      </c>
      <c r="F118" s="413">
        <v>-2</v>
      </c>
    </row>
    <row r="119" spans="1:6" ht="13.2" x14ac:dyDescent="0.25">
      <c r="A119" s="566" t="s">
        <v>647</v>
      </c>
      <c r="B119" s="147" t="s">
        <v>282</v>
      </c>
      <c r="C119" s="409" t="s">
        <v>751</v>
      </c>
      <c r="D119" s="409" t="s">
        <v>752</v>
      </c>
      <c r="E119" s="412">
        <f>IFERROR(VLOOKUP(C119,'2023'!A:E,5,FALSE),0)</f>
        <v>1908595575</v>
      </c>
      <c r="F119" s="413">
        <v>1292754104</v>
      </c>
    </row>
    <row r="120" spans="1:6" ht="13.2" x14ac:dyDescent="0.25">
      <c r="A120" s="566" t="s">
        <v>647</v>
      </c>
      <c r="B120" s="147" t="s">
        <v>282</v>
      </c>
      <c r="C120" s="409" t="s">
        <v>753</v>
      </c>
      <c r="D120" s="409" t="s">
        <v>754</v>
      </c>
      <c r="E120" s="412">
        <f>IFERROR(VLOOKUP(C120,'2023'!A:E,5,FALSE),0)</f>
        <v>1419672165</v>
      </c>
      <c r="F120" s="413">
        <v>1259962294</v>
      </c>
    </row>
    <row r="121" spans="1:6" ht="13.2" x14ac:dyDescent="0.25">
      <c r="A121" s="566" t="s">
        <v>647</v>
      </c>
      <c r="B121" s="147" t="s">
        <v>282</v>
      </c>
      <c r="C121" s="409" t="s">
        <v>755</v>
      </c>
      <c r="D121" s="409" t="s">
        <v>756</v>
      </c>
      <c r="E121" s="412">
        <f>IFERROR(VLOOKUP(C121,'2023'!A:E,5,FALSE),0)</f>
        <v>14499710</v>
      </c>
      <c r="F121" s="413">
        <v>14499710</v>
      </c>
    </row>
    <row r="122" spans="1:6" ht="13.2" x14ac:dyDescent="0.25">
      <c r="A122" s="566" t="s">
        <v>647</v>
      </c>
      <c r="B122" s="147" t="s">
        <v>484</v>
      </c>
      <c r="C122" s="409" t="s">
        <v>757</v>
      </c>
      <c r="D122" s="409" t="s">
        <v>758</v>
      </c>
      <c r="E122" s="412">
        <f>IFERROR(VLOOKUP(C122,'2023'!A:E,5,FALSE),0)</f>
        <v>39421059</v>
      </c>
      <c r="F122" s="413">
        <v>39421059</v>
      </c>
    </row>
    <row r="123" spans="1:6" ht="13.2" x14ac:dyDescent="0.25">
      <c r="A123" s="566" t="s">
        <v>647</v>
      </c>
      <c r="B123" s="147" t="s">
        <v>276</v>
      </c>
      <c r="C123" s="409" t="s">
        <v>759</v>
      </c>
      <c r="D123" s="409" t="s">
        <v>760</v>
      </c>
      <c r="E123" s="412">
        <f>IFERROR(VLOOKUP(C123,'2023'!A:E,5,FALSE),0)</f>
        <v>1467644083</v>
      </c>
      <c r="F123" s="413">
        <v>1514991507</v>
      </c>
    </row>
    <row r="124" spans="1:6" ht="13.2" x14ac:dyDescent="0.25">
      <c r="A124" s="566" t="s">
        <v>647</v>
      </c>
      <c r="B124" s="147" t="s">
        <v>276</v>
      </c>
      <c r="C124" s="409" t="s">
        <v>761</v>
      </c>
      <c r="D124" s="409" t="s">
        <v>762</v>
      </c>
      <c r="E124" s="412">
        <f>IFERROR(VLOOKUP(C124,'2023'!A:E,5,FALSE),0)</f>
        <v>7440043325</v>
      </c>
      <c r="F124" s="413">
        <v>5076740984</v>
      </c>
    </row>
    <row r="125" spans="1:6" ht="13.2" x14ac:dyDescent="0.25">
      <c r="A125" s="566" t="s">
        <v>647</v>
      </c>
      <c r="B125" s="147" t="s">
        <v>282</v>
      </c>
      <c r="C125" s="409" t="s">
        <v>763</v>
      </c>
      <c r="D125" s="409" t="s">
        <v>764</v>
      </c>
      <c r="E125" s="412">
        <f>IFERROR(VLOOKUP(C125,'2023'!A:E,5,FALSE),0)</f>
        <v>140772685</v>
      </c>
      <c r="F125" s="413">
        <v>-557698216</v>
      </c>
    </row>
    <row r="126" spans="1:6" ht="13.2" x14ac:dyDescent="0.25">
      <c r="A126" s="566" t="s">
        <v>647</v>
      </c>
      <c r="B126" s="147" t="s">
        <v>282</v>
      </c>
      <c r="C126" s="409" t="s">
        <v>765</v>
      </c>
      <c r="D126" s="409" t="s">
        <v>766</v>
      </c>
      <c r="E126" s="412">
        <f>IFERROR(VLOOKUP(C126,'2023'!A:E,5,FALSE),0)</f>
        <v>8763904325</v>
      </c>
      <c r="F126" s="413">
        <v>4285767073</v>
      </c>
    </row>
    <row r="127" spans="1:6" ht="13.2" x14ac:dyDescent="0.25">
      <c r="A127" s="566" t="s">
        <v>647</v>
      </c>
      <c r="B127" s="147" t="s">
        <v>282</v>
      </c>
      <c r="C127" s="409" t="s">
        <v>767</v>
      </c>
      <c r="D127" s="409" t="s">
        <v>768</v>
      </c>
      <c r="E127" s="412">
        <f>IFERROR(VLOOKUP(C127,'2023'!A:E,5,FALSE),0)</f>
        <v>648624172</v>
      </c>
      <c r="F127" s="413">
        <v>0</v>
      </c>
    </row>
    <row r="128" spans="1:6" ht="13.2" x14ac:dyDescent="0.25">
      <c r="A128" s="566" t="s">
        <v>647</v>
      </c>
      <c r="B128" s="147" t="s">
        <v>282</v>
      </c>
      <c r="C128" s="409" t="s">
        <v>769</v>
      </c>
      <c r="D128" s="409" t="s">
        <v>770</v>
      </c>
      <c r="E128" s="412">
        <f>IFERROR(VLOOKUP(C128,'2023'!A:E,5,FALSE),0)</f>
        <v>0</v>
      </c>
      <c r="F128" s="563">
        <v>0</v>
      </c>
    </row>
    <row r="129" spans="1:7" ht="13.2" x14ac:dyDescent="0.25">
      <c r="A129" s="566" t="s">
        <v>771</v>
      </c>
      <c r="B129" s="323" t="s">
        <v>287</v>
      </c>
      <c r="C129" s="409" t="s">
        <v>772</v>
      </c>
      <c r="D129" s="409" t="s">
        <v>287</v>
      </c>
      <c r="E129" s="412">
        <f>IFERROR(VLOOKUP(C129,'2023'!A:E,5,FALSE),0)</f>
        <v>12997134637</v>
      </c>
      <c r="F129" s="563">
        <v>12722319633</v>
      </c>
      <c r="G129" s="417">
        <f>+E129-F129</f>
        <v>274815004</v>
      </c>
    </row>
    <row r="130" spans="1:7" ht="13.2" x14ac:dyDescent="0.25">
      <c r="A130" s="566" t="s">
        <v>771</v>
      </c>
      <c r="B130" s="323" t="s">
        <v>288</v>
      </c>
      <c r="C130" s="409" t="s">
        <v>773</v>
      </c>
      <c r="D130" s="409" t="s">
        <v>774</v>
      </c>
      <c r="E130" s="412">
        <f>IFERROR(VLOOKUP(C130,'2023'!A:E,5,FALSE),0)</f>
        <v>86176965194</v>
      </c>
      <c r="F130" s="563">
        <v>86176965194</v>
      </c>
      <c r="G130" s="417">
        <f t="shared" ref="G130:G159" si="0">+E130-F130</f>
        <v>0</v>
      </c>
    </row>
    <row r="131" spans="1:7" ht="13.2" x14ac:dyDescent="0.25">
      <c r="A131" s="566" t="s">
        <v>771</v>
      </c>
      <c r="B131" s="323" t="s">
        <v>288</v>
      </c>
      <c r="C131" s="409" t="s">
        <v>775</v>
      </c>
      <c r="D131" s="409" t="s">
        <v>776</v>
      </c>
      <c r="E131" s="412">
        <f>IFERROR(VLOOKUP(C131,'2023'!A:E,5,FALSE),0)</f>
        <v>-16484925773</v>
      </c>
      <c r="F131" s="563">
        <v>-15004192574</v>
      </c>
      <c r="G131" s="417">
        <f t="shared" si="0"/>
        <v>-1480733199</v>
      </c>
    </row>
    <row r="132" spans="1:7" ht="13.2" x14ac:dyDescent="0.25">
      <c r="A132" s="566" t="s">
        <v>771</v>
      </c>
      <c r="B132" s="323" t="s">
        <v>289</v>
      </c>
      <c r="C132" s="409" t="s">
        <v>777</v>
      </c>
      <c r="D132" s="409" t="s">
        <v>289</v>
      </c>
      <c r="E132" s="412">
        <f>IFERROR(VLOOKUP(C132,'2023'!A:E,5,FALSE),0)</f>
        <v>4630059717</v>
      </c>
      <c r="F132" s="563">
        <v>4188758033</v>
      </c>
      <c r="G132" s="417">
        <f t="shared" si="0"/>
        <v>441301684</v>
      </c>
    </row>
    <row r="133" spans="1:7" ht="13.2" x14ac:dyDescent="0.25">
      <c r="A133" s="566" t="s">
        <v>771</v>
      </c>
      <c r="B133" s="323" t="s">
        <v>486</v>
      </c>
      <c r="C133" s="409" t="s">
        <v>778</v>
      </c>
      <c r="D133" s="409" t="s">
        <v>486</v>
      </c>
      <c r="E133" s="412">
        <f>IFERROR(VLOOKUP(C133,'2023'!A:E,5,FALSE),0)</f>
        <v>15987204525</v>
      </c>
      <c r="F133" s="563">
        <v>15987204525</v>
      </c>
      <c r="G133" s="417">
        <f t="shared" si="0"/>
        <v>0</v>
      </c>
    </row>
    <row r="134" spans="1:7" ht="13.2" x14ac:dyDescent="0.25">
      <c r="A134" s="566" t="s">
        <v>771</v>
      </c>
      <c r="B134" s="323" t="s">
        <v>289</v>
      </c>
      <c r="C134" s="409" t="s">
        <v>779</v>
      </c>
      <c r="D134" s="409" t="s">
        <v>780</v>
      </c>
      <c r="E134" s="412">
        <f>IFERROR(VLOOKUP(C134,'2023'!A:E,5,FALSE),0)</f>
        <v>-3331680306</v>
      </c>
      <c r="F134" s="563">
        <v>-3176287341</v>
      </c>
      <c r="G134" s="417">
        <f t="shared" si="0"/>
        <v>-155392965</v>
      </c>
    </row>
    <row r="135" spans="1:7" ht="13.2" x14ac:dyDescent="0.25">
      <c r="A135" s="566" t="s">
        <v>771</v>
      </c>
      <c r="B135" s="323" t="s">
        <v>290</v>
      </c>
      <c r="C135" s="409" t="s">
        <v>781</v>
      </c>
      <c r="D135" s="409" t="s">
        <v>782</v>
      </c>
      <c r="E135" s="412">
        <f>IFERROR(VLOOKUP(C135,'2023'!A:E,5,FALSE),0)</f>
        <v>88654274203</v>
      </c>
      <c r="F135" s="563">
        <v>87024011314</v>
      </c>
      <c r="G135" s="417">
        <f t="shared" si="0"/>
        <v>1630262889</v>
      </c>
    </row>
    <row r="136" spans="1:7" ht="13.2" x14ac:dyDescent="0.25">
      <c r="A136" s="566" t="s">
        <v>771</v>
      </c>
      <c r="B136" s="323" t="s">
        <v>290</v>
      </c>
      <c r="C136" s="409" t="s">
        <v>783</v>
      </c>
      <c r="D136" s="409" t="s">
        <v>784</v>
      </c>
      <c r="E136" s="412">
        <f>IFERROR(VLOOKUP(C136,'2023'!A:E,5,FALSE),0)</f>
        <v>-49542635972</v>
      </c>
      <c r="F136" s="563">
        <v>-45312277286</v>
      </c>
      <c r="G136" s="417">
        <f t="shared" si="0"/>
        <v>-4230358686</v>
      </c>
    </row>
    <row r="137" spans="1:7" ht="13.2" x14ac:dyDescent="0.25">
      <c r="A137" s="566" t="s">
        <v>771</v>
      </c>
      <c r="B137" s="323" t="s">
        <v>291</v>
      </c>
      <c r="C137" s="409" t="s">
        <v>785</v>
      </c>
      <c r="D137" s="409" t="s">
        <v>291</v>
      </c>
      <c r="E137" s="412">
        <f>IFERROR(VLOOKUP(C137,'2023'!A:E,5,FALSE),0)</f>
        <v>696499357</v>
      </c>
      <c r="F137" s="563">
        <v>688407993</v>
      </c>
      <c r="G137" s="417">
        <f t="shared" si="0"/>
        <v>8091364</v>
      </c>
    </row>
    <row r="138" spans="1:7" ht="13.2" x14ac:dyDescent="0.25">
      <c r="A138" s="566" t="s">
        <v>771</v>
      </c>
      <c r="B138" s="323" t="s">
        <v>291</v>
      </c>
      <c r="C138" s="409" t="s">
        <v>786</v>
      </c>
      <c r="D138" s="409" t="s">
        <v>787</v>
      </c>
      <c r="E138" s="412">
        <f>IFERROR(VLOOKUP(C138,'2023'!A:E,5,FALSE),0)</f>
        <v>-609983978</v>
      </c>
      <c r="F138" s="563">
        <v>-591181160</v>
      </c>
      <c r="G138" s="417">
        <f t="shared" si="0"/>
        <v>-18802818</v>
      </c>
    </row>
    <row r="139" spans="1:7" ht="13.2" x14ac:dyDescent="0.25">
      <c r="A139" s="566" t="s">
        <v>771</v>
      </c>
      <c r="B139" s="323" t="s">
        <v>293</v>
      </c>
      <c r="C139" s="409" t="s">
        <v>788</v>
      </c>
      <c r="D139" s="409" t="s">
        <v>789</v>
      </c>
      <c r="E139" s="412">
        <f>IFERROR(VLOOKUP(C139,'2023'!A:E,5,FALSE),0)</f>
        <v>2881628414</v>
      </c>
      <c r="F139" s="563">
        <v>2890532162</v>
      </c>
      <c r="G139" s="417">
        <f t="shared" si="0"/>
        <v>-8903748</v>
      </c>
    </row>
    <row r="140" spans="1:7" ht="13.2" x14ac:dyDescent="0.25">
      <c r="A140" s="566" t="s">
        <v>771</v>
      </c>
      <c r="B140" s="323" t="s">
        <v>293</v>
      </c>
      <c r="C140" s="409" t="s">
        <v>790</v>
      </c>
      <c r="D140" s="409" t="s">
        <v>791</v>
      </c>
      <c r="E140" s="412">
        <f>IFERROR(VLOOKUP(C140,'2023'!A:E,5,FALSE),0)</f>
        <v>-1405180805</v>
      </c>
      <c r="F140" s="563">
        <v>-1123190969</v>
      </c>
      <c r="G140" s="417">
        <f t="shared" si="0"/>
        <v>-281989836</v>
      </c>
    </row>
    <row r="141" spans="1:7" ht="13.2" x14ac:dyDescent="0.25">
      <c r="A141" s="566" t="s">
        <v>771</v>
      </c>
      <c r="B141" s="323" t="s">
        <v>294</v>
      </c>
      <c r="C141" s="409" t="s">
        <v>792</v>
      </c>
      <c r="D141" s="409" t="s">
        <v>793</v>
      </c>
      <c r="E141" s="412">
        <f>IFERROR(VLOOKUP(C141,'2023'!A:E,5,FALSE),0)</f>
        <v>889450716</v>
      </c>
      <c r="F141" s="563">
        <v>889367988</v>
      </c>
      <c r="G141" s="417">
        <f t="shared" si="0"/>
        <v>82728</v>
      </c>
    </row>
    <row r="142" spans="1:7" ht="13.2" x14ac:dyDescent="0.25">
      <c r="A142" s="566" t="s">
        <v>771</v>
      </c>
      <c r="B142" s="323" t="s">
        <v>294</v>
      </c>
      <c r="C142" s="409" t="s">
        <v>794</v>
      </c>
      <c r="D142" s="409" t="s">
        <v>795</v>
      </c>
      <c r="E142" s="412">
        <f>IFERROR(VLOOKUP(C142,'2023'!A:E,5,FALSE),0)</f>
        <v>-266254027</v>
      </c>
      <c r="F142" s="563">
        <v>-235975480</v>
      </c>
      <c r="G142" s="417">
        <f t="shared" si="0"/>
        <v>-30278547</v>
      </c>
    </row>
    <row r="143" spans="1:7" ht="13.2" x14ac:dyDescent="0.25">
      <c r="A143" s="566" t="s">
        <v>771</v>
      </c>
      <c r="B143" s="323" t="s">
        <v>292</v>
      </c>
      <c r="C143" s="409" t="s">
        <v>796</v>
      </c>
      <c r="D143" s="409" t="s">
        <v>797</v>
      </c>
      <c r="E143" s="412">
        <f>IFERROR(VLOOKUP(C143,'2023'!A:E,5,FALSE),0)</f>
        <v>3126274007</v>
      </c>
      <c r="F143" s="563">
        <v>3111957066</v>
      </c>
      <c r="G143" s="417">
        <f t="shared" si="0"/>
        <v>14316941</v>
      </c>
    </row>
    <row r="144" spans="1:7" ht="13.2" x14ac:dyDescent="0.25">
      <c r="A144" s="566" t="s">
        <v>771</v>
      </c>
      <c r="B144" s="323" t="s">
        <v>292</v>
      </c>
      <c r="C144" s="409" t="s">
        <v>798</v>
      </c>
      <c r="D144" s="409" t="s">
        <v>799</v>
      </c>
      <c r="E144" s="412">
        <f>IFERROR(VLOOKUP(C144,'2023'!A:E,5,FALSE),0)</f>
        <v>-2424870891</v>
      </c>
      <c r="F144" s="563">
        <v>-2263699485</v>
      </c>
      <c r="G144" s="417">
        <f t="shared" si="0"/>
        <v>-161171406</v>
      </c>
    </row>
    <row r="145" spans="1:7" ht="13.2" x14ac:dyDescent="0.25">
      <c r="A145" s="566" t="s">
        <v>771</v>
      </c>
      <c r="B145" s="323" t="s">
        <v>295</v>
      </c>
      <c r="C145" s="409" t="s">
        <v>800</v>
      </c>
      <c r="D145" s="409" t="s">
        <v>801</v>
      </c>
      <c r="E145" s="412">
        <f>IFERROR(VLOOKUP(C145,'2023'!A:E,5,FALSE),0)</f>
        <v>3843110851</v>
      </c>
      <c r="F145" s="563">
        <v>3720478307</v>
      </c>
      <c r="G145" s="417">
        <f t="shared" si="0"/>
        <v>122632544</v>
      </c>
    </row>
    <row r="146" spans="1:7" ht="13.2" x14ac:dyDescent="0.25">
      <c r="A146" s="566" t="s">
        <v>771</v>
      </c>
      <c r="B146" s="323" t="s">
        <v>295</v>
      </c>
      <c r="C146" s="409" t="s">
        <v>802</v>
      </c>
      <c r="D146" s="409" t="s">
        <v>803</v>
      </c>
      <c r="E146" s="412">
        <f>IFERROR(VLOOKUP(C146,'2023'!A:E,5,FALSE),0)</f>
        <v>-2812824948</v>
      </c>
      <c r="F146" s="563">
        <v>-2747718741</v>
      </c>
      <c r="G146" s="417">
        <f t="shared" si="0"/>
        <v>-65106207</v>
      </c>
    </row>
    <row r="147" spans="1:7" ht="13.2" x14ac:dyDescent="0.25">
      <c r="A147" s="566" t="s">
        <v>771</v>
      </c>
      <c r="B147" s="323" t="s">
        <v>295</v>
      </c>
      <c r="C147" s="414" t="s">
        <v>804</v>
      </c>
      <c r="D147" s="414" t="s">
        <v>805</v>
      </c>
      <c r="E147" s="412">
        <f>IFERROR(VLOOKUP(C147,'2023'!A:E,5,FALSE),0)</f>
        <v>550208454</v>
      </c>
      <c r="F147" s="563">
        <v>0</v>
      </c>
      <c r="G147" s="417">
        <f t="shared" si="0"/>
        <v>550208454</v>
      </c>
    </row>
    <row r="148" spans="1:7" ht="13.2" x14ac:dyDescent="0.25">
      <c r="A148" s="566" t="s">
        <v>771</v>
      </c>
      <c r="B148" s="323" t="s">
        <v>297</v>
      </c>
      <c r="C148" s="409" t="s">
        <v>806</v>
      </c>
      <c r="D148" s="409" t="s">
        <v>807</v>
      </c>
      <c r="E148" s="412">
        <f>IFERROR(VLOOKUP(C148,'2023'!A:E,5,FALSE),0)</f>
        <v>3979717726</v>
      </c>
      <c r="F148" s="563">
        <v>3858338026</v>
      </c>
      <c r="G148" s="417">
        <f t="shared" si="0"/>
        <v>121379700</v>
      </c>
    </row>
    <row r="149" spans="1:7" ht="13.2" x14ac:dyDescent="0.25">
      <c r="A149" s="566" t="s">
        <v>771</v>
      </c>
      <c r="B149" s="323" t="s">
        <v>487</v>
      </c>
      <c r="C149" s="409" t="s">
        <v>808</v>
      </c>
      <c r="D149" s="409" t="s">
        <v>809</v>
      </c>
      <c r="E149" s="412">
        <f>IFERROR(VLOOKUP(C149,'2023'!A:E,5,FALSE),0)</f>
        <v>90184407</v>
      </c>
      <c r="F149" s="563">
        <v>86016067</v>
      </c>
      <c r="G149" s="417">
        <f t="shared" si="0"/>
        <v>4168340</v>
      </c>
    </row>
    <row r="150" spans="1:7" ht="13.2" x14ac:dyDescent="0.25">
      <c r="A150" s="566" t="s">
        <v>771</v>
      </c>
      <c r="B150" s="323" t="s">
        <v>487</v>
      </c>
      <c r="C150" s="409" t="s">
        <v>810</v>
      </c>
      <c r="D150" s="409" t="s">
        <v>811</v>
      </c>
      <c r="E150" s="412">
        <f>IFERROR(VLOOKUP(C150,'2023'!A:E,5,FALSE),0)</f>
        <v>-11404870</v>
      </c>
      <c r="F150" s="563">
        <v>-11404870</v>
      </c>
      <c r="G150" s="417">
        <f t="shared" si="0"/>
        <v>0</v>
      </c>
    </row>
    <row r="151" spans="1:7" ht="13.2" x14ac:dyDescent="0.25">
      <c r="A151" s="566" t="s">
        <v>771</v>
      </c>
      <c r="B151" s="323" t="s">
        <v>296</v>
      </c>
      <c r="C151" s="409" t="s">
        <v>812</v>
      </c>
      <c r="D151" s="409" t="s">
        <v>813</v>
      </c>
      <c r="E151" s="412">
        <f>IFERROR(VLOOKUP(C151,'2023'!A:E,5,FALSE),0)</f>
        <v>1851544942</v>
      </c>
      <c r="F151" s="563">
        <v>1777966464</v>
      </c>
      <c r="G151" s="417">
        <f t="shared" si="0"/>
        <v>73578478</v>
      </c>
    </row>
    <row r="152" spans="1:7" ht="13.2" x14ac:dyDescent="0.25">
      <c r="A152" s="566" t="s">
        <v>771</v>
      </c>
      <c r="B152" s="323" t="s">
        <v>296</v>
      </c>
      <c r="C152" s="414" t="s">
        <v>814</v>
      </c>
      <c r="D152" s="414" t="s">
        <v>815</v>
      </c>
      <c r="E152" s="412">
        <f>IFERROR(VLOOKUP(C152,'2023'!A:E,5,FALSE),0)</f>
        <v>0</v>
      </c>
      <c r="F152" s="563">
        <v>0</v>
      </c>
      <c r="G152" s="417">
        <f t="shared" si="0"/>
        <v>0</v>
      </c>
    </row>
    <row r="153" spans="1:7" x14ac:dyDescent="0.2">
      <c r="A153" s="566" t="s">
        <v>771</v>
      </c>
      <c r="C153" s="414" t="s">
        <v>816</v>
      </c>
      <c r="D153" s="414" t="s">
        <v>817</v>
      </c>
      <c r="E153" s="412">
        <f>IFERROR(VLOOKUP(C153,'2023'!A:E,5,FALSE),0)</f>
        <v>0</v>
      </c>
      <c r="F153" s="563">
        <v>0</v>
      </c>
      <c r="G153" s="417">
        <f t="shared" si="0"/>
        <v>0</v>
      </c>
    </row>
    <row r="154" spans="1:7" ht="13.2" x14ac:dyDescent="0.25">
      <c r="A154" s="566" t="s">
        <v>771</v>
      </c>
      <c r="B154" s="323" t="s">
        <v>296</v>
      </c>
      <c r="C154" s="409" t="s">
        <v>818</v>
      </c>
      <c r="D154" s="409" t="s">
        <v>819</v>
      </c>
      <c r="E154" s="412">
        <f>IFERROR(VLOOKUP(C154,'2023'!A:E,5,FALSE),0)</f>
        <v>340272893</v>
      </c>
      <c r="F154" s="563">
        <v>330259024</v>
      </c>
      <c r="G154" s="417">
        <f t="shared" si="0"/>
        <v>10013869</v>
      </c>
    </row>
    <row r="155" spans="1:7" ht="13.2" x14ac:dyDescent="0.25">
      <c r="A155" s="566" t="s">
        <v>771</v>
      </c>
      <c r="B155" s="323"/>
      <c r="C155" s="414" t="s">
        <v>820</v>
      </c>
      <c r="D155" s="414" t="s">
        <v>821</v>
      </c>
      <c r="E155" s="412">
        <f>IFERROR(VLOOKUP(C155,'2023'!A:E,5,FALSE),0)</f>
        <v>0</v>
      </c>
      <c r="F155" s="563">
        <v>0</v>
      </c>
      <c r="G155" s="417">
        <f t="shared" si="0"/>
        <v>0</v>
      </c>
    </row>
    <row r="156" spans="1:7" ht="13.2" x14ac:dyDescent="0.25">
      <c r="A156" s="566" t="s">
        <v>771</v>
      </c>
      <c r="B156" s="323" t="s">
        <v>296</v>
      </c>
      <c r="C156" s="409" t="s">
        <v>822</v>
      </c>
      <c r="D156" s="409" t="s">
        <v>823</v>
      </c>
      <c r="E156" s="412">
        <f>IFERROR(VLOOKUP(C156,'2023'!A:E,5,FALSE),0)</f>
        <v>112819291</v>
      </c>
      <c r="F156" s="563">
        <v>112819291</v>
      </c>
      <c r="G156" s="417">
        <f t="shared" si="0"/>
        <v>0</v>
      </c>
    </row>
    <row r="157" spans="1:7" ht="13.2" x14ac:dyDescent="0.25">
      <c r="A157" s="566" t="s">
        <v>771</v>
      </c>
      <c r="B157" s="323" t="s">
        <v>296</v>
      </c>
      <c r="C157" s="409" t="s">
        <v>824</v>
      </c>
      <c r="D157" s="409" t="s">
        <v>825</v>
      </c>
      <c r="E157" s="412">
        <f>IFERROR(VLOOKUP(C157,'2023'!A:E,5,FALSE),0)</f>
        <v>941915436</v>
      </c>
      <c r="F157" s="563">
        <v>363630996</v>
      </c>
      <c r="G157" s="417">
        <f t="shared" si="0"/>
        <v>578284440</v>
      </c>
    </row>
    <row r="158" spans="1:7" ht="13.2" x14ac:dyDescent="0.25">
      <c r="A158" s="566" t="s">
        <v>771</v>
      </c>
      <c r="B158" s="323" t="s">
        <v>296</v>
      </c>
      <c r="C158" s="409" t="s">
        <v>826</v>
      </c>
      <c r="D158" s="409" t="s">
        <v>827</v>
      </c>
      <c r="E158" s="412">
        <f>IFERROR(VLOOKUP(C158,'2023'!A:E,5,FALSE),0)</f>
        <v>89231888452</v>
      </c>
      <c r="F158" s="563">
        <v>6959454932</v>
      </c>
      <c r="G158" s="417">
        <f t="shared" si="0"/>
        <v>82272433520</v>
      </c>
    </row>
    <row r="159" spans="1:7" ht="13.2" x14ac:dyDescent="0.25">
      <c r="A159" s="566" t="s">
        <v>771</v>
      </c>
      <c r="B159" s="323" t="s">
        <v>296</v>
      </c>
      <c r="C159" s="409" t="s">
        <v>828</v>
      </c>
      <c r="D159" s="409" t="s">
        <v>829</v>
      </c>
      <c r="E159" s="412">
        <f>IFERROR(VLOOKUP(C159,'2023'!A:E,5,FALSE),0)</f>
        <v>1141922728</v>
      </c>
      <c r="F159" s="563">
        <v>1139913637</v>
      </c>
      <c r="G159" s="417">
        <f t="shared" si="0"/>
        <v>2009091</v>
      </c>
    </row>
    <row r="160" spans="1:7" x14ac:dyDescent="0.2">
      <c r="A160" s="409" t="s">
        <v>698</v>
      </c>
      <c r="B160" s="522"/>
      <c r="C160" s="409" t="s">
        <v>830</v>
      </c>
      <c r="D160" s="409" t="s">
        <v>831</v>
      </c>
      <c r="E160" s="534">
        <f>IFERROR(VLOOKUP(C160,'2023'!A:E,5,FALSE),0)</f>
        <v>-29725430990</v>
      </c>
      <c r="F160" s="563">
        <v>-9593487403</v>
      </c>
    </row>
    <row r="161" spans="1:7" ht="13.2" x14ac:dyDescent="0.25">
      <c r="A161" s="409" t="s">
        <v>832</v>
      </c>
      <c r="B161" s="147" t="s">
        <v>304</v>
      </c>
      <c r="C161" s="409" t="s">
        <v>833</v>
      </c>
      <c r="D161" s="409" t="s">
        <v>304</v>
      </c>
      <c r="E161" s="559">
        <f>IFERROR(VLOOKUP(C161,'2023'!A:E,5,FALSE),0)</f>
        <v>2590909974</v>
      </c>
      <c r="F161" s="563">
        <v>2530903470</v>
      </c>
      <c r="G161" s="417">
        <f>+E161-F161</f>
        <v>60006504</v>
      </c>
    </row>
    <row r="162" spans="1:7" ht="13.2" x14ac:dyDescent="0.25">
      <c r="A162" s="409" t="s">
        <v>832</v>
      </c>
      <c r="B162" s="147" t="s">
        <v>305</v>
      </c>
      <c r="C162" s="409" t="s">
        <v>834</v>
      </c>
      <c r="D162" s="409" t="s">
        <v>835</v>
      </c>
      <c r="E162" s="560">
        <f>IFERROR(VLOOKUP(C162,'2023'!A:E,5,FALSE),0)</f>
        <v>1638353009</v>
      </c>
      <c r="F162" s="563">
        <v>11199874</v>
      </c>
      <c r="G162" s="417">
        <f t="shared" ref="G162:G163" si="1">+E162-F162</f>
        <v>1627153135</v>
      </c>
    </row>
    <row r="163" spans="1:7" ht="13.2" x14ac:dyDescent="0.25">
      <c r="A163" s="409" t="s">
        <v>832</v>
      </c>
      <c r="B163" s="147" t="s">
        <v>307</v>
      </c>
      <c r="C163" s="409" t="s">
        <v>836</v>
      </c>
      <c r="D163" s="409" t="s">
        <v>307</v>
      </c>
      <c r="E163" s="560">
        <f>IFERROR(VLOOKUP(C163,'2023'!A:E,5,FALSE),0)</f>
        <v>194490225</v>
      </c>
      <c r="F163" s="563">
        <v>96261482</v>
      </c>
      <c r="G163" s="417">
        <f t="shared" si="1"/>
        <v>98228743</v>
      </c>
    </row>
    <row r="164" spans="1:7" ht="13.2" x14ac:dyDescent="0.25">
      <c r="A164" s="409" t="s">
        <v>837</v>
      </c>
      <c r="B164" s="147" t="s">
        <v>304</v>
      </c>
      <c r="C164" s="409" t="s">
        <v>838</v>
      </c>
      <c r="D164" s="409" t="s">
        <v>839</v>
      </c>
      <c r="E164" s="559">
        <f>IFERROR(VLOOKUP(C164,'2023'!A:E,5,FALSE),0)</f>
        <v>5067427</v>
      </c>
      <c r="F164" s="563">
        <v>4420800</v>
      </c>
    </row>
    <row r="165" spans="1:7" ht="13.2" x14ac:dyDescent="0.25">
      <c r="A165" s="409" t="s">
        <v>837</v>
      </c>
      <c r="B165" s="147" t="s">
        <v>304</v>
      </c>
      <c r="C165" s="414" t="s">
        <v>840</v>
      </c>
      <c r="D165" s="414" t="s">
        <v>841</v>
      </c>
      <c r="E165" s="559">
        <f>IFERROR(VLOOKUP(C165,'2023'!A:E,5,FALSE),0)</f>
        <v>0</v>
      </c>
      <c r="F165" s="563">
        <v>0</v>
      </c>
    </row>
    <row r="166" spans="1:7" ht="13.2" x14ac:dyDescent="0.25">
      <c r="A166" s="409" t="s">
        <v>837</v>
      </c>
      <c r="B166" s="147" t="s">
        <v>304</v>
      </c>
      <c r="C166" s="409" t="s">
        <v>842</v>
      </c>
      <c r="D166" s="409" t="s">
        <v>843</v>
      </c>
      <c r="E166" s="559">
        <f>IFERROR(VLOOKUP(C166,'2023'!A:E,5,FALSE),0)</f>
        <v>6870000</v>
      </c>
      <c r="F166" s="563">
        <v>4190000</v>
      </c>
    </row>
    <row r="167" spans="1:7" ht="13.2" x14ac:dyDescent="0.25">
      <c r="A167" s="409" t="s">
        <v>837</v>
      </c>
      <c r="B167" s="147" t="s">
        <v>304</v>
      </c>
      <c r="C167" s="409" t="s">
        <v>844</v>
      </c>
      <c r="D167" s="409" t="s">
        <v>845</v>
      </c>
      <c r="E167" s="559">
        <f>IFERROR(VLOOKUP(C167,'2023'!A:E,5,FALSE),0)</f>
        <v>3523341</v>
      </c>
      <c r="F167" s="563">
        <v>2454625</v>
      </c>
    </row>
    <row r="168" spans="1:7" ht="13.2" x14ac:dyDescent="0.25">
      <c r="A168" s="409" t="s">
        <v>837</v>
      </c>
      <c r="B168" s="147" t="s">
        <v>304</v>
      </c>
      <c r="C168" s="409" t="s">
        <v>846</v>
      </c>
      <c r="D168" s="409" t="s">
        <v>847</v>
      </c>
      <c r="E168" s="559">
        <f>IFERROR(VLOOKUP(C168,'2023'!A:E,5,FALSE),0)</f>
        <v>1951345</v>
      </c>
      <c r="F168" s="563">
        <v>130500</v>
      </c>
    </row>
    <row r="169" spans="1:7" ht="13.2" x14ac:dyDescent="0.25">
      <c r="A169" s="409" t="s">
        <v>837</v>
      </c>
      <c r="B169" s="147" t="s">
        <v>304</v>
      </c>
      <c r="C169" s="409" t="s">
        <v>848</v>
      </c>
      <c r="D169" s="409" t="s">
        <v>849</v>
      </c>
      <c r="E169" s="559">
        <f>IFERROR(VLOOKUP(C169,'2023'!A:E,5,FALSE),0)</f>
        <v>0</v>
      </c>
      <c r="F169" s="563">
        <v>1272000</v>
      </c>
    </row>
    <row r="170" spans="1:7" ht="13.2" x14ac:dyDescent="0.25">
      <c r="A170" s="409" t="s">
        <v>837</v>
      </c>
      <c r="B170" s="147" t="s">
        <v>304</v>
      </c>
      <c r="C170" s="409" t="s">
        <v>850</v>
      </c>
      <c r="D170" s="409" t="s">
        <v>851</v>
      </c>
      <c r="E170" s="559">
        <f>IFERROR(VLOOKUP(C170,'2023'!A:E,5,FALSE),0)</f>
        <v>3333582</v>
      </c>
      <c r="F170" s="563">
        <v>6230430</v>
      </c>
    </row>
    <row r="171" spans="1:7" ht="13.2" x14ac:dyDescent="0.25">
      <c r="A171" s="409" t="s">
        <v>837</v>
      </c>
      <c r="B171" s="147" t="s">
        <v>304</v>
      </c>
      <c r="C171" s="409" t="s">
        <v>852</v>
      </c>
      <c r="D171" s="409" t="s">
        <v>853</v>
      </c>
      <c r="E171" s="559">
        <f>IFERROR(VLOOKUP(C171,'2023'!A:E,5,FALSE),0)</f>
        <v>1932000</v>
      </c>
      <c r="F171" s="563">
        <v>2839214</v>
      </c>
    </row>
    <row r="172" spans="1:7" ht="13.2" x14ac:dyDescent="0.25">
      <c r="A172" s="409" t="s">
        <v>837</v>
      </c>
      <c r="B172" s="147" t="s">
        <v>304</v>
      </c>
      <c r="C172" s="409" t="s">
        <v>854</v>
      </c>
      <c r="D172" s="409" t="s">
        <v>855</v>
      </c>
      <c r="E172" s="559">
        <f>IFERROR(VLOOKUP(C172,'2023'!A:E,5,FALSE),0)</f>
        <v>2713861</v>
      </c>
      <c r="F172" s="563">
        <v>647810</v>
      </c>
    </row>
    <row r="173" spans="1:7" ht="13.2" x14ac:dyDescent="0.25">
      <c r="A173" s="409" t="s">
        <v>837</v>
      </c>
      <c r="B173" s="147" t="s">
        <v>304</v>
      </c>
      <c r="C173" s="409" t="s">
        <v>856</v>
      </c>
      <c r="D173" s="409" t="s">
        <v>857</v>
      </c>
      <c r="E173" s="559">
        <f>IFERROR(VLOOKUP(C173,'2023'!A:E,5,FALSE),0)</f>
        <v>4195000</v>
      </c>
      <c r="F173" s="563">
        <v>1543000</v>
      </c>
    </row>
    <row r="174" spans="1:7" ht="13.2" x14ac:dyDescent="0.25">
      <c r="A174" s="409" t="s">
        <v>837</v>
      </c>
      <c r="B174" s="147" t="s">
        <v>304</v>
      </c>
      <c r="C174" s="409" t="s">
        <v>858</v>
      </c>
      <c r="D174" s="409" t="s">
        <v>859</v>
      </c>
      <c r="E174" s="559">
        <f>IFERROR(VLOOKUP(C174,'2023'!A:E,5,FALSE),0)</f>
        <v>1029833</v>
      </c>
      <c r="F174" s="563">
        <v>1282705</v>
      </c>
    </row>
    <row r="175" spans="1:7" ht="13.2" x14ac:dyDescent="0.25">
      <c r="A175" s="409" t="s">
        <v>860</v>
      </c>
      <c r="B175" s="147" t="s">
        <v>306</v>
      </c>
      <c r="C175" s="409" t="s">
        <v>862</v>
      </c>
      <c r="D175" s="409" t="s">
        <v>861</v>
      </c>
      <c r="E175" s="560">
        <f>IFERROR(VLOOKUP(C175,'2023'!A:E,5,FALSE),0)</f>
        <v>537744868</v>
      </c>
      <c r="F175" s="563">
        <v>707413421</v>
      </c>
    </row>
    <row r="176" spans="1:7" ht="13.2" x14ac:dyDescent="0.25">
      <c r="A176" s="409" t="s">
        <v>860</v>
      </c>
      <c r="B176" s="147" t="s">
        <v>306</v>
      </c>
      <c r="C176" s="409" t="s">
        <v>864</v>
      </c>
      <c r="D176" s="409" t="s">
        <v>863</v>
      </c>
      <c r="E176" s="560">
        <f>IFERROR(VLOOKUP(C176,'2023'!A:E,5,FALSE),0)</f>
        <v>296309281</v>
      </c>
      <c r="F176" s="563">
        <v>265449135</v>
      </c>
    </row>
    <row r="177" spans="1:8" ht="13.2" x14ac:dyDescent="0.25">
      <c r="A177" s="409" t="s">
        <v>860</v>
      </c>
      <c r="B177" s="147" t="s">
        <v>306</v>
      </c>
      <c r="C177" s="409" t="s">
        <v>866</v>
      </c>
      <c r="D177" s="409" t="s">
        <v>865</v>
      </c>
      <c r="E177" s="560">
        <f>IFERROR(VLOOKUP(C177,'2023'!A:E,5,FALSE),0)</f>
        <v>148599138</v>
      </c>
      <c r="F177" s="563">
        <v>90283013</v>
      </c>
    </row>
    <row r="178" spans="1:8" x14ac:dyDescent="0.2">
      <c r="A178" s="409" t="s">
        <v>832</v>
      </c>
      <c r="B178" s="526"/>
      <c r="C178" s="409" t="s">
        <v>867</v>
      </c>
      <c r="D178" s="409" t="s">
        <v>868</v>
      </c>
      <c r="E178" s="560">
        <f>IFERROR(VLOOKUP(C178,'2023'!A:E,5,FALSE),0)</f>
        <v>11772036080</v>
      </c>
      <c r="F178" s="563">
        <v>53696342685</v>
      </c>
      <c r="G178" s="417">
        <f t="shared" ref="G178:G182" si="2">+E178-F178</f>
        <v>-41924306605</v>
      </c>
    </row>
    <row r="179" spans="1:8" x14ac:dyDescent="0.2">
      <c r="A179" s="409" t="s">
        <v>832</v>
      </c>
      <c r="B179" s="526"/>
      <c r="C179" s="409" t="s">
        <v>869</v>
      </c>
      <c r="D179" s="409" t="s">
        <v>870</v>
      </c>
      <c r="E179" s="560">
        <f>IFERROR(VLOOKUP(C179,'2023'!A:E,5,FALSE),0)</f>
        <v>390257822</v>
      </c>
      <c r="F179" s="563">
        <v>84557462</v>
      </c>
      <c r="G179" s="417">
        <f t="shared" si="2"/>
        <v>305700360</v>
      </c>
    </row>
    <row r="180" spans="1:8" x14ac:dyDescent="0.2">
      <c r="A180" s="409" t="s">
        <v>832</v>
      </c>
      <c r="B180" s="526"/>
      <c r="C180" s="414" t="s">
        <v>871</v>
      </c>
      <c r="D180" s="414" t="s">
        <v>319</v>
      </c>
      <c r="E180" s="560">
        <f>IFERROR(VLOOKUP(C180,'2023'!A:E,5,FALSE),0)</f>
        <v>0</v>
      </c>
      <c r="F180" s="563">
        <v>0</v>
      </c>
      <c r="G180" s="417">
        <f t="shared" si="2"/>
        <v>0</v>
      </c>
      <c r="H180" s="409">
        <f>+E180*2</f>
        <v>0</v>
      </c>
    </row>
    <row r="181" spans="1:8" x14ac:dyDescent="0.2">
      <c r="A181" s="409" t="s">
        <v>832</v>
      </c>
      <c r="B181" s="526"/>
      <c r="C181" s="409" t="s">
        <v>872</v>
      </c>
      <c r="D181" s="409" t="s">
        <v>515</v>
      </c>
      <c r="E181" s="560">
        <f>IFERROR(VLOOKUP(C181,'2023'!A:E,5,FALSE),0)</f>
        <v>14619983418</v>
      </c>
      <c r="F181" s="563">
        <v>5696884803</v>
      </c>
      <c r="G181" s="417">
        <f t="shared" si="2"/>
        <v>8923098615</v>
      </c>
    </row>
    <row r="182" spans="1:8" x14ac:dyDescent="0.2">
      <c r="A182" s="409" t="s">
        <v>832</v>
      </c>
      <c r="B182" s="522"/>
      <c r="C182" s="409" t="s">
        <v>873</v>
      </c>
      <c r="D182" s="409" t="s">
        <v>874</v>
      </c>
      <c r="E182" s="412">
        <f>IFERROR(VLOOKUP(C182,'2023'!A:E,5,FALSE),0)</f>
        <v>0</v>
      </c>
      <c r="F182" s="563">
        <v>4322252</v>
      </c>
      <c r="G182" s="417">
        <f t="shared" si="2"/>
        <v>-4322252</v>
      </c>
    </row>
    <row r="183" spans="1:8" ht="13.8" x14ac:dyDescent="0.25">
      <c r="A183" s="409" t="s">
        <v>698</v>
      </c>
      <c r="B183" s="349" t="s">
        <v>498</v>
      </c>
      <c r="C183" s="409" t="s">
        <v>875</v>
      </c>
      <c r="D183" s="409" t="s">
        <v>876</v>
      </c>
      <c r="E183" s="562">
        <f>IFERROR(VLOOKUP(C183,'2023'!A:E,5,FALSE),0)</f>
        <v>15206088101</v>
      </c>
      <c r="F183" s="563">
        <v>7453206880</v>
      </c>
    </row>
    <row r="184" spans="1:8" ht="13.8" x14ac:dyDescent="0.25">
      <c r="A184" s="409" t="s">
        <v>698</v>
      </c>
      <c r="B184" s="349" t="s">
        <v>1545</v>
      </c>
      <c r="C184" s="409" t="s">
        <v>937</v>
      </c>
      <c r="D184" s="409" t="s">
        <v>1535</v>
      </c>
      <c r="E184" s="562">
        <f>IFERROR(VLOOKUP(C184,'2023'!A:E,5,FALSE),0)</f>
        <v>32882265000</v>
      </c>
      <c r="F184" s="563">
        <v>7453206880</v>
      </c>
    </row>
    <row r="185" spans="1:8" ht="13.8" x14ac:dyDescent="0.2">
      <c r="A185" s="409" t="s">
        <v>698</v>
      </c>
      <c r="B185" s="352" t="s">
        <v>493</v>
      </c>
      <c r="C185" s="409" t="s">
        <v>877</v>
      </c>
      <c r="D185" s="409" t="s">
        <v>878</v>
      </c>
      <c r="E185" s="562">
        <f>IFERROR(VLOOKUP(C185,'2023'!A:E,5,FALSE),0)</f>
        <v>2317626574</v>
      </c>
      <c r="F185" s="563">
        <v>5477093182.7526398</v>
      </c>
    </row>
    <row r="186" spans="1:8" ht="13.8" x14ac:dyDescent="0.2">
      <c r="A186" s="409" t="s">
        <v>698</v>
      </c>
      <c r="B186" s="352" t="s">
        <v>493</v>
      </c>
      <c r="C186" s="409" t="s">
        <v>879</v>
      </c>
      <c r="D186" s="409" t="s">
        <v>880</v>
      </c>
      <c r="E186" s="562">
        <f>IFERROR(VLOOKUP(C186,'2023'!A:E,5,FALSE),0)</f>
        <v>1590510554.5329001</v>
      </c>
      <c r="F186" s="563">
        <v>1742807742</v>
      </c>
    </row>
    <row r="187" spans="1:8" ht="13.8" x14ac:dyDescent="0.2">
      <c r="A187" s="409" t="s">
        <v>698</v>
      </c>
      <c r="B187" s="352" t="s">
        <v>1486</v>
      </c>
      <c r="C187" s="409" t="s">
        <v>1481</v>
      </c>
      <c r="D187" s="409" t="s">
        <v>1482</v>
      </c>
      <c r="E187" s="562">
        <f>IFERROR(VLOOKUP(C187,'2023'!A:E,5,FALSE),0)</f>
        <v>10820449900.30233</v>
      </c>
      <c r="F187" s="563">
        <v>0</v>
      </c>
    </row>
    <row r="188" spans="1:8" ht="13.2" x14ac:dyDescent="0.25">
      <c r="A188" s="409" t="s">
        <v>881</v>
      </c>
      <c r="B188" s="165" t="s">
        <v>310</v>
      </c>
      <c r="C188" s="409" t="s">
        <v>882</v>
      </c>
      <c r="D188" s="409" t="s">
        <v>883</v>
      </c>
      <c r="E188" s="564">
        <f>IFERROR(VLOOKUP(C188,'2023'!A:E,5,FALSE),0)</f>
        <v>959371263</v>
      </c>
      <c r="F188" s="563">
        <v>822678385</v>
      </c>
    </row>
    <row r="189" spans="1:8" ht="13.2" x14ac:dyDescent="0.25">
      <c r="A189" s="409" t="s">
        <v>881</v>
      </c>
      <c r="B189" s="165" t="s">
        <v>310</v>
      </c>
      <c r="C189" s="409" t="s">
        <v>884</v>
      </c>
      <c r="D189" s="409" t="s">
        <v>885</v>
      </c>
      <c r="E189" s="564">
        <f>IFERROR(VLOOKUP(C189,'2023'!A:E,5,FALSE),0)</f>
        <v>195620109</v>
      </c>
      <c r="F189" s="563">
        <v>126131373</v>
      </c>
    </row>
    <row r="190" spans="1:8" ht="13.2" x14ac:dyDescent="0.25">
      <c r="A190" s="409" t="s">
        <v>881</v>
      </c>
      <c r="B190" s="165" t="s">
        <v>310</v>
      </c>
      <c r="C190" s="409" t="s">
        <v>886</v>
      </c>
      <c r="D190" s="409" t="s">
        <v>887</v>
      </c>
      <c r="E190" s="564">
        <f>IFERROR(VLOOKUP(C190,'2023'!A:E,5,FALSE),0)</f>
        <v>133878432</v>
      </c>
      <c r="F190" s="563">
        <v>86243363</v>
      </c>
    </row>
    <row r="191" spans="1:8" ht="13.2" x14ac:dyDescent="0.25">
      <c r="A191" s="409" t="s">
        <v>881</v>
      </c>
      <c r="B191" s="165" t="s">
        <v>310</v>
      </c>
      <c r="C191" s="409" t="s">
        <v>888</v>
      </c>
      <c r="D191" s="409" t="s">
        <v>889</v>
      </c>
      <c r="E191" s="564">
        <f>IFERROR(VLOOKUP(C191,'2023'!A:E,5,FALSE),0)</f>
        <v>129803456</v>
      </c>
      <c r="F191" s="563">
        <v>101538019</v>
      </c>
    </row>
    <row r="192" spans="1:8" ht="13.2" x14ac:dyDescent="0.25">
      <c r="A192" s="409" t="s">
        <v>881</v>
      </c>
      <c r="B192" s="165" t="s">
        <v>310</v>
      </c>
      <c r="C192" s="409" t="s">
        <v>890</v>
      </c>
      <c r="D192" s="409" t="s">
        <v>891</v>
      </c>
      <c r="E192" s="564">
        <f>IFERROR(VLOOKUP(C192,'2023'!A:E,5,FALSE),0)</f>
        <v>317340130</v>
      </c>
      <c r="F192" s="563">
        <v>283627216</v>
      </c>
    </row>
    <row r="193" spans="1:6" ht="13.2" x14ac:dyDescent="0.25">
      <c r="A193" s="409" t="s">
        <v>881</v>
      </c>
      <c r="B193" s="165" t="s">
        <v>310</v>
      </c>
      <c r="C193" s="409" t="s">
        <v>892</v>
      </c>
      <c r="D193" s="409" t="s">
        <v>893</v>
      </c>
      <c r="E193" s="564">
        <f>IFERROR(VLOOKUP(C193,'2023'!A:E,5,FALSE),0)</f>
        <v>48962457</v>
      </c>
      <c r="F193" s="563">
        <v>49693649</v>
      </c>
    </row>
    <row r="194" spans="1:6" ht="13.2" x14ac:dyDescent="0.25">
      <c r="A194" s="409" t="s">
        <v>881</v>
      </c>
      <c r="B194" s="165" t="s">
        <v>310</v>
      </c>
      <c r="C194" s="409" t="s">
        <v>894</v>
      </c>
      <c r="D194" s="409" t="s">
        <v>895</v>
      </c>
      <c r="E194" s="564">
        <f>IFERROR(VLOOKUP(C194,'2023'!A:E,5,FALSE),0)</f>
        <v>33480175</v>
      </c>
      <c r="F194" s="563">
        <v>30305425</v>
      </c>
    </row>
    <row r="195" spans="1:6" ht="13.2" x14ac:dyDescent="0.25">
      <c r="A195" s="409" t="s">
        <v>881</v>
      </c>
      <c r="B195" s="165" t="s">
        <v>310</v>
      </c>
      <c r="C195" s="409" t="s">
        <v>896</v>
      </c>
      <c r="D195" s="409" t="s">
        <v>897</v>
      </c>
      <c r="E195" s="564">
        <f>IFERROR(VLOOKUP(C195,'2023'!A:E,5,FALSE),0)</f>
        <v>35745509</v>
      </c>
      <c r="F195" s="563">
        <v>32670432</v>
      </c>
    </row>
    <row r="196" spans="1:6" ht="13.2" x14ac:dyDescent="0.25">
      <c r="A196" s="409" t="s">
        <v>881</v>
      </c>
      <c r="B196" s="165" t="s">
        <v>310</v>
      </c>
      <c r="C196" s="414" t="s">
        <v>898</v>
      </c>
      <c r="D196" s="414" t="s">
        <v>899</v>
      </c>
      <c r="E196" s="561">
        <f>IFERROR(VLOOKUP(C196,'2023'!A:E,5,FALSE),0)</f>
        <v>0</v>
      </c>
      <c r="F196" s="563">
        <v>0</v>
      </c>
    </row>
    <row r="197" spans="1:6" ht="13.2" x14ac:dyDescent="0.25">
      <c r="A197" s="409" t="s">
        <v>881</v>
      </c>
      <c r="B197" s="165" t="s">
        <v>310</v>
      </c>
      <c r="C197" s="414" t="s">
        <v>900</v>
      </c>
      <c r="D197" s="414" t="s">
        <v>901</v>
      </c>
      <c r="E197" s="561">
        <f>IFERROR(VLOOKUP(C197,'2023'!A:E,5,FALSE),0)</f>
        <v>0</v>
      </c>
      <c r="F197" s="563">
        <v>0</v>
      </c>
    </row>
    <row r="198" spans="1:6" ht="13.2" x14ac:dyDescent="0.25">
      <c r="A198" s="409" t="s">
        <v>881</v>
      </c>
      <c r="B198" s="165" t="s">
        <v>310</v>
      </c>
      <c r="C198" s="414" t="s">
        <v>902</v>
      </c>
      <c r="D198" s="414" t="s">
        <v>903</v>
      </c>
      <c r="E198" s="561">
        <f>IFERROR(VLOOKUP(C198,'2023'!A:E,5,FALSE),0)</f>
        <v>0</v>
      </c>
      <c r="F198" s="563">
        <v>0</v>
      </c>
    </row>
    <row r="199" spans="1:6" ht="13.2" x14ac:dyDescent="0.25">
      <c r="A199" s="409" t="s">
        <v>881</v>
      </c>
      <c r="B199" s="165" t="s">
        <v>310</v>
      </c>
      <c r="C199" s="414" t="s">
        <v>904</v>
      </c>
      <c r="D199" s="414" t="s">
        <v>905</v>
      </c>
      <c r="E199" s="561">
        <f>IFERROR(VLOOKUP(C199,'2023'!A:E,5,FALSE),0)</f>
        <v>0</v>
      </c>
      <c r="F199" s="563">
        <v>0</v>
      </c>
    </row>
    <row r="200" spans="1:6" ht="13.2" x14ac:dyDescent="0.25">
      <c r="A200" s="409" t="s">
        <v>881</v>
      </c>
      <c r="B200" s="147" t="s">
        <v>314</v>
      </c>
      <c r="C200" s="409" t="s">
        <v>906</v>
      </c>
      <c r="D200" s="409" t="s">
        <v>907</v>
      </c>
      <c r="E200" s="561">
        <f>IFERROR(VLOOKUP(C200,'2023'!A:E,5,FALSE),0)</f>
        <v>-44472563</v>
      </c>
      <c r="F200" s="563">
        <v>1172198</v>
      </c>
    </row>
    <row r="201" spans="1:6" ht="13.2" x14ac:dyDescent="0.25">
      <c r="A201" s="409" t="s">
        <v>881</v>
      </c>
      <c r="B201" s="165" t="s">
        <v>310</v>
      </c>
      <c r="C201" s="409" t="s">
        <v>908</v>
      </c>
      <c r="D201" s="409" t="s">
        <v>909</v>
      </c>
      <c r="E201" s="564">
        <f>IFERROR(VLOOKUP(C201,'2023'!A:E,5,FALSE),0)</f>
        <v>1170790905</v>
      </c>
      <c r="F201" s="563">
        <v>0</v>
      </c>
    </row>
    <row r="202" spans="1:6" ht="13.2" x14ac:dyDescent="0.25">
      <c r="A202" s="409" t="s">
        <v>881</v>
      </c>
      <c r="B202" s="147" t="s">
        <v>315</v>
      </c>
      <c r="C202" s="409" t="s">
        <v>910</v>
      </c>
      <c r="D202" s="409" t="s">
        <v>911</v>
      </c>
      <c r="E202" s="564">
        <f>IFERROR(VLOOKUP(C202,'2023'!A:E,5,FALSE),0)</f>
        <v>160447131</v>
      </c>
      <c r="F202" s="563">
        <v>74129275</v>
      </c>
    </row>
    <row r="203" spans="1:6" ht="13.2" x14ac:dyDescent="0.25">
      <c r="A203" s="409" t="s">
        <v>881</v>
      </c>
      <c r="B203" s="147" t="s">
        <v>314</v>
      </c>
      <c r="C203" s="409" t="s">
        <v>912</v>
      </c>
      <c r="D203" s="409" t="s">
        <v>913</v>
      </c>
      <c r="E203" s="564">
        <f>IFERROR(VLOOKUP(C203,'2023'!A:E,5,FALSE),0)</f>
        <v>54787055</v>
      </c>
      <c r="F203" s="563">
        <v>54787055</v>
      </c>
    </row>
    <row r="204" spans="1:6" ht="13.2" x14ac:dyDescent="0.25">
      <c r="A204" s="409" t="s">
        <v>837</v>
      </c>
      <c r="B204" s="28" t="s">
        <v>525</v>
      </c>
      <c r="C204" s="409" t="s">
        <v>915</v>
      </c>
      <c r="D204" s="409" t="s">
        <v>914</v>
      </c>
      <c r="E204" s="564">
        <f>IFERROR(VLOOKUP(C204,'2023'!A:E,5,FALSE),0)</f>
        <v>45666528</v>
      </c>
      <c r="F204" s="563">
        <v>45666528</v>
      </c>
    </row>
    <row r="205" spans="1:6" ht="13.2" x14ac:dyDescent="0.25">
      <c r="A205" s="409" t="s">
        <v>608</v>
      </c>
      <c r="B205" s="147" t="s">
        <v>312</v>
      </c>
      <c r="C205" s="409" t="s">
        <v>916</v>
      </c>
      <c r="D205" s="409" t="s">
        <v>917</v>
      </c>
      <c r="E205" s="564">
        <f>IFERROR(VLOOKUP(C205,'2023'!A:E,5,FALSE),0)</f>
        <v>321698174.59997559</v>
      </c>
      <c r="F205" s="563">
        <v>821526800</v>
      </c>
    </row>
    <row r="206" spans="1:6" ht="13.2" x14ac:dyDescent="0.25">
      <c r="A206" s="409" t="s">
        <v>608</v>
      </c>
      <c r="B206" s="165" t="s">
        <v>311</v>
      </c>
      <c r="C206" s="409" t="s">
        <v>918</v>
      </c>
      <c r="D206" s="409" t="s">
        <v>919</v>
      </c>
      <c r="E206" s="564">
        <f>IFERROR(VLOOKUP(C206,'2023'!A:E,5,FALSE),0)</f>
        <v>0</v>
      </c>
      <c r="F206" s="563">
        <v>3935036</v>
      </c>
    </row>
    <row r="207" spans="1:6" ht="13.2" x14ac:dyDescent="0.25">
      <c r="A207" s="409" t="s">
        <v>920</v>
      </c>
      <c r="B207" s="165" t="s">
        <v>311</v>
      </c>
      <c r="C207" s="409" t="s">
        <v>921</v>
      </c>
      <c r="D207" s="409" t="s">
        <v>922</v>
      </c>
      <c r="E207" s="564">
        <f>IFERROR(VLOOKUP(C207,'2023'!A:E,5,FALSE),0)</f>
        <v>132157953</v>
      </c>
      <c r="F207" s="563">
        <v>171229843</v>
      </c>
    </row>
    <row r="208" spans="1:6" ht="13.2" x14ac:dyDescent="0.25">
      <c r="A208" s="409" t="s">
        <v>920</v>
      </c>
      <c r="B208" s="165" t="s">
        <v>311</v>
      </c>
      <c r="C208" s="409" t="s">
        <v>923</v>
      </c>
      <c r="D208" s="409" t="s">
        <v>924</v>
      </c>
      <c r="E208" s="564">
        <f>IFERROR(VLOOKUP(C208,'2023'!A:E,5,FALSE),0)</f>
        <v>10273618</v>
      </c>
      <c r="F208" s="563">
        <v>6925202</v>
      </c>
    </row>
    <row r="209" spans="1:7" ht="13.2" x14ac:dyDescent="0.25">
      <c r="A209" s="409" t="s">
        <v>83</v>
      </c>
      <c r="B209" s="147" t="s">
        <v>315</v>
      </c>
      <c r="C209" s="409" t="s">
        <v>925</v>
      </c>
      <c r="D209" s="409" t="s">
        <v>315</v>
      </c>
      <c r="E209" s="565">
        <f>IFERROR(VLOOKUP(C209,'2023'!A:E,5,FALSE),0)</f>
        <v>469991665</v>
      </c>
      <c r="F209" s="563">
        <v>0</v>
      </c>
    </row>
    <row r="210" spans="1:7" ht="13.2" x14ac:dyDescent="0.25">
      <c r="A210" s="409" t="s">
        <v>837</v>
      </c>
      <c r="B210" s="147" t="s">
        <v>303</v>
      </c>
      <c r="C210" s="409" t="s">
        <v>926</v>
      </c>
      <c r="D210" s="409" t="s">
        <v>313</v>
      </c>
      <c r="E210" s="560">
        <f>IFERROR(VLOOKUP(C210,'2023'!A:E,5,FALSE),0)</f>
        <v>902976266</v>
      </c>
      <c r="F210" s="563">
        <v>355787644</v>
      </c>
    </row>
    <row r="211" spans="1:7" ht="13.2" x14ac:dyDescent="0.25">
      <c r="A211" s="409" t="s">
        <v>837</v>
      </c>
      <c r="B211" s="147" t="s">
        <v>303</v>
      </c>
      <c r="C211" s="409" t="s">
        <v>927</v>
      </c>
      <c r="D211" s="409" t="s">
        <v>928</v>
      </c>
      <c r="E211" s="560">
        <f>IFERROR(VLOOKUP(C211,'2023'!A:E,5,FALSE),0)</f>
        <v>523814796</v>
      </c>
      <c r="F211" s="563">
        <v>1069536486</v>
      </c>
    </row>
    <row r="212" spans="1:7" ht="13.2" x14ac:dyDescent="0.25">
      <c r="A212" s="409" t="s">
        <v>837</v>
      </c>
      <c r="B212" s="147" t="s">
        <v>303</v>
      </c>
      <c r="C212" s="409" t="s">
        <v>929</v>
      </c>
      <c r="D212" s="409" t="s">
        <v>930</v>
      </c>
      <c r="E212" s="560">
        <f>IFERROR(VLOOKUP(C212,'2023'!A:E,5,FALSE),0)</f>
        <v>14435611</v>
      </c>
      <c r="F212" s="563">
        <v>16740222</v>
      </c>
    </row>
    <row r="213" spans="1:7" x14ac:dyDescent="0.2">
      <c r="A213" s="409" t="s">
        <v>837</v>
      </c>
      <c r="C213" s="409" t="s">
        <v>931</v>
      </c>
      <c r="D213" s="409" t="s">
        <v>932</v>
      </c>
      <c r="E213" s="412">
        <f>IFERROR(VLOOKUP(C213,'2023'!A:E,5,FALSE),0)</f>
        <v>0</v>
      </c>
      <c r="F213" s="563">
        <v>4327311475</v>
      </c>
    </row>
    <row r="214" spans="1:7" ht="13.2" x14ac:dyDescent="0.25">
      <c r="A214" s="409" t="s">
        <v>837</v>
      </c>
      <c r="B214" s="28" t="s">
        <v>525</v>
      </c>
      <c r="C214" s="409" t="s">
        <v>934</v>
      </c>
      <c r="D214" s="409" t="s">
        <v>933</v>
      </c>
      <c r="E214" s="565">
        <f>IFERROR(VLOOKUP(C214,'2023'!A:E,5,FALSE),0)</f>
        <v>52127976</v>
      </c>
      <c r="F214" s="563">
        <v>52127976</v>
      </c>
    </row>
    <row r="215" spans="1:7" ht="13.8" x14ac:dyDescent="0.25">
      <c r="A215" s="409" t="s">
        <v>698</v>
      </c>
      <c r="B215" s="349" t="s">
        <v>499</v>
      </c>
      <c r="C215" s="409" t="s">
        <v>935</v>
      </c>
      <c r="D215" s="409" t="s">
        <v>936</v>
      </c>
      <c r="E215" s="562">
        <f>IFERROR(VLOOKUP(C215,'2023'!A:E,5,FALSE),0)</f>
        <v>27488212221</v>
      </c>
      <c r="F215" s="563">
        <v>38918400484</v>
      </c>
    </row>
    <row r="216" spans="1:7" ht="13.8" x14ac:dyDescent="0.25">
      <c r="A216" s="409" t="s">
        <v>698</v>
      </c>
      <c r="B216" s="349" t="s">
        <v>500</v>
      </c>
      <c r="C216" s="409" t="s">
        <v>937</v>
      </c>
      <c r="D216" s="409" t="s">
        <v>938</v>
      </c>
      <c r="E216" s="561">
        <v>0</v>
      </c>
      <c r="F216" s="563">
        <v>33028290000</v>
      </c>
    </row>
    <row r="217" spans="1:7" ht="13.8" x14ac:dyDescent="0.2">
      <c r="A217" s="409" t="s">
        <v>698</v>
      </c>
      <c r="B217" s="352" t="s">
        <v>502</v>
      </c>
      <c r="C217" s="409" t="s">
        <v>939</v>
      </c>
      <c r="D217" s="409" t="s">
        <v>940</v>
      </c>
      <c r="E217" s="562">
        <f>IFERROR(VLOOKUP(C217,'2023'!A:E,5,FALSE),0)</f>
        <v>1693079242</v>
      </c>
      <c r="F217" s="563">
        <v>8283370722.9699993</v>
      </c>
    </row>
    <row r="218" spans="1:7" ht="13.8" x14ac:dyDescent="0.2">
      <c r="A218" s="409" t="s">
        <v>698</v>
      </c>
      <c r="B218" s="352" t="s">
        <v>502</v>
      </c>
      <c r="C218" s="409" t="s">
        <v>941</v>
      </c>
      <c r="D218" s="409" t="s">
        <v>942</v>
      </c>
      <c r="E218" s="562">
        <f>IFERROR(VLOOKUP(C218,'2023'!A:E,5,FALSE),0)</f>
        <v>0</v>
      </c>
      <c r="F218" s="563">
        <v>1161871828</v>
      </c>
    </row>
    <row r="219" spans="1:7" ht="13.8" x14ac:dyDescent="0.25">
      <c r="A219" s="409" t="s">
        <v>698</v>
      </c>
      <c r="B219" s="349" t="s">
        <v>497</v>
      </c>
      <c r="C219" s="409" t="s">
        <v>943</v>
      </c>
      <c r="D219" s="409" t="s">
        <v>944</v>
      </c>
      <c r="E219" s="562">
        <f>IFERROR(VLOOKUP(C219,'2023'!A:E,5,FALSE),0)</f>
        <v>65764530001</v>
      </c>
      <c r="F219" s="563">
        <v>14679240000</v>
      </c>
    </row>
    <row r="220" spans="1:7" ht="13.8" x14ac:dyDescent="0.25">
      <c r="A220" s="409" t="s">
        <v>698</v>
      </c>
      <c r="B220" s="349" t="s">
        <v>496</v>
      </c>
      <c r="C220" s="409" t="s">
        <v>945</v>
      </c>
      <c r="D220" s="409" t="s">
        <v>946</v>
      </c>
      <c r="E220" s="562">
        <f>IFERROR(VLOOKUP(C220,'2023'!A:E,5,FALSE),0)</f>
        <v>56000000000</v>
      </c>
      <c r="F220" s="563">
        <v>17000000000</v>
      </c>
    </row>
    <row r="221" spans="1:7" ht="13.8" x14ac:dyDescent="0.25">
      <c r="A221" s="409" t="s">
        <v>698</v>
      </c>
      <c r="B221" s="349" t="s">
        <v>501</v>
      </c>
      <c r="C221" s="409" t="s">
        <v>1483</v>
      </c>
      <c r="D221" s="409" t="s">
        <v>1484</v>
      </c>
      <c r="E221" s="562">
        <f>IFERROR(VLOOKUP(C221,'2023'!A:E,5,FALSE),0)</f>
        <v>8938328767</v>
      </c>
      <c r="F221" s="563">
        <v>0</v>
      </c>
    </row>
    <row r="222" spans="1:7" ht="13.8" x14ac:dyDescent="0.25">
      <c r="A222" s="409" t="s">
        <v>698</v>
      </c>
      <c r="B222" s="349" t="s">
        <v>501</v>
      </c>
      <c r="C222" s="409" t="s">
        <v>1503</v>
      </c>
      <c r="D222" s="409" t="s">
        <v>1504</v>
      </c>
      <c r="E222" s="562">
        <f>IFERROR(VLOOKUP(C222,'2023'!A:E,5,FALSE),0)</f>
        <v>9106236187.1647682</v>
      </c>
      <c r="F222" s="563">
        <v>0</v>
      </c>
    </row>
    <row r="223" spans="1:7" x14ac:dyDescent="0.2">
      <c r="C223" s="409" t="s">
        <v>947</v>
      </c>
      <c r="D223" s="409" t="s">
        <v>948</v>
      </c>
      <c r="E223" s="412">
        <f>IFERROR(VLOOKUP(C223,'2023'!A:E,5,FALSE),0)</f>
        <v>200000000000</v>
      </c>
      <c r="F223" s="563">
        <v>200000000000</v>
      </c>
    </row>
    <row r="224" spans="1:7" x14ac:dyDescent="0.2">
      <c r="C224" s="409" t="s">
        <v>949</v>
      </c>
      <c r="D224" s="409" t="s">
        <v>950</v>
      </c>
      <c r="E224" s="412">
        <f>IFERROR(VLOOKUP(C224,'2023'!A:E,5,FALSE),0)</f>
        <v>-7826983776</v>
      </c>
      <c r="F224" s="563">
        <v>-7826983776</v>
      </c>
      <c r="G224" s="413"/>
    </row>
    <row r="225" spans="2:8" x14ac:dyDescent="0.2">
      <c r="C225" s="409" t="s">
        <v>951</v>
      </c>
      <c r="D225" s="409" t="s">
        <v>437</v>
      </c>
      <c r="E225" s="412">
        <f>IFERROR(VLOOKUP(C225,'2023'!A:E,5,FALSE),0)</f>
        <v>2720132014</v>
      </c>
      <c r="F225" s="413">
        <v>2720132014</v>
      </c>
    </row>
    <row r="226" spans="2:8" x14ac:dyDescent="0.2">
      <c r="B226" s="409" t="s">
        <v>325</v>
      </c>
      <c r="C226" s="409" t="s">
        <v>952</v>
      </c>
      <c r="D226" s="409" t="s">
        <v>953</v>
      </c>
      <c r="E226" s="412">
        <f>IFERROR(VLOOKUP(C226,'2023'!A:E,5,FALSE),0)</f>
        <v>0</v>
      </c>
      <c r="F226" s="413">
        <v>0</v>
      </c>
    </row>
    <row r="227" spans="2:8" x14ac:dyDescent="0.2">
      <c r="B227" s="409" t="s">
        <v>954</v>
      </c>
      <c r="C227" s="409" t="s">
        <v>955</v>
      </c>
      <c r="D227" s="409" t="s">
        <v>956</v>
      </c>
      <c r="E227" s="412">
        <f>IFERROR(VLOOKUP(C227,'2023'!A:E,5,FALSE),0)</f>
        <v>11423641075</v>
      </c>
      <c r="F227" s="413">
        <v>11423641075</v>
      </c>
    </row>
    <row r="228" spans="2:8" x14ac:dyDescent="0.2">
      <c r="B228" s="409" t="s">
        <v>330</v>
      </c>
      <c r="C228" s="409" t="s">
        <v>957</v>
      </c>
      <c r="D228" s="409" t="s">
        <v>958</v>
      </c>
      <c r="E228" s="412">
        <f>IFERROR(VLOOKUP(C228,'2023'!A:E,5,FALSE),0)</f>
        <v>23482533132</v>
      </c>
      <c r="F228" s="413">
        <v>17763825535</v>
      </c>
      <c r="G228" s="417">
        <f>+F228+F229-E228</f>
        <v>16380</v>
      </c>
    </row>
    <row r="229" spans="2:8" x14ac:dyDescent="0.2">
      <c r="B229" s="409" t="s">
        <v>331</v>
      </c>
      <c r="C229" s="409" t="s">
        <v>959</v>
      </c>
      <c r="E229" s="412">
        <f>IFERROR(VLOOKUP(C229,'2023'!A:E,5,FALSE),0)</f>
        <v>3122197277.4000001</v>
      </c>
      <c r="F229" s="413">
        <v>5718723977</v>
      </c>
    </row>
    <row r="230" spans="2:8" x14ac:dyDescent="0.2">
      <c r="E230" s="412">
        <f>IFERROR(VLOOKUP(C230,'2023'!A:E,5,FALSE),0)</f>
        <v>0</v>
      </c>
    </row>
    <row r="234" spans="2:8" x14ac:dyDescent="0.2">
      <c r="E234" s="413"/>
      <c r="F234" s="413"/>
      <c r="G234" s="413"/>
      <c r="H234" s="418"/>
    </row>
    <row r="235" spans="2:8" x14ac:dyDescent="0.2">
      <c r="E235" s="413"/>
      <c r="F235" s="413"/>
    </row>
    <row r="236" spans="2:8" x14ac:dyDescent="0.2">
      <c r="D236" s="409" t="s">
        <v>960</v>
      </c>
      <c r="E236" s="413">
        <f>SUM(E3:E160)-E160-E93</f>
        <v>467627055603</v>
      </c>
      <c r="F236" s="413">
        <v>412867736542</v>
      </c>
      <c r="G236" s="412">
        <f>+BG!F33+BG!F28</f>
        <v>111326005434</v>
      </c>
    </row>
    <row r="237" spans="2:8" x14ac:dyDescent="0.2">
      <c r="D237" s="409" t="s">
        <v>961</v>
      </c>
      <c r="E237" s="413">
        <f>SUM(E161:E222)+E160+E93</f>
        <v>234705535880.59998</v>
      </c>
      <c r="F237" s="413">
        <v>183068397716.72263</v>
      </c>
      <c r="G237" s="412">
        <f>+F234-G236</f>
        <v>-111326005434</v>
      </c>
    </row>
    <row r="238" spans="2:8" x14ac:dyDescent="0.2">
      <c r="D238" s="409" t="s">
        <v>962</v>
      </c>
      <c r="E238" s="413">
        <f>SUM(E223:E229)</f>
        <v>232921519722.39999</v>
      </c>
      <c r="F238" s="413">
        <v>229799338825</v>
      </c>
    </row>
    <row r="239" spans="2:8" x14ac:dyDescent="0.2">
      <c r="E239" s="413">
        <f>+E236-E237-E238</f>
        <v>0</v>
      </c>
      <c r="F239" s="413">
        <f>+F236-F237-F238</f>
        <v>0.277374267578125</v>
      </c>
    </row>
    <row r="240" spans="2:8" x14ac:dyDescent="0.2">
      <c r="E240" s="413"/>
      <c r="F240" s="413"/>
    </row>
    <row r="241" spans="5:7" x14ac:dyDescent="0.2">
      <c r="F241" s="412"/>
      <c r="G241" s="419"/>
    </row>
    <row r="243" spans="5:7" x14ac:dyDescent="0.2">
      <c r="E243" s="412">
        <f>+E93+E160</f>
        <v>-34989987518</v>
      </c>
      <c r="G243" s="412"/>
    </row>
    <row r="244" spans="5:7" x14ac:dyDescent="0.2">
      <c r="E244" s="412">
        <f>+'Nota 9'!B8+'Nota 9'!B9+'Nota 9'!B20+'Nota 9'!B21</f>
        <v>-34989987518.002129</v>
      </c>
    </row>
    <row r="245" spans="5:7" x14ac:dyDescent="0.2">
      <c r="E245" s="412">
        <f>+E243-E244</f>
        <v>2.12860107421875E-3</v>
      </c>
    </row>
  </sheetData>
  <autoFilter ref="A2:G230" xr:uid="{8AD53D1A-A398-42D5-A2BB-CB845AFC19E1}"/>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A65058-B36D-C849-B16E-6496FD18102D}">
  <sheetPr>
    <tabColor rgb="FF002060"/>
  </sheetPr>
  <dimension ref="A1:F18"/>
  <sheetViews>
    <sheetView showGridLines="0" zoomScale="120" zoomScaleNormal="120" workbookViewId="0">
      <selection activeCell="F1" sqref="F1"/>
    </sheetView>
  </sheetViews>
  <sheetFormatPr baseColWidth="10" defaultColWidth="10.8984375" defaultRowHeight="13.2" x14ac:dyDescent="0.25"/>
  <cols>
    <col min="1" max="1" width="31.5" style="167" customWidth="1"/>
    <col min="2" max="2" width="12.09765625" style="167" customWidth="1"/>
    <col min="3" max="3" width="1.5" style="167" customWidth="1"/>
    <col min="4" max="4" width="13.5" style="167" customWidth="1"/>
    <col min="5" max="16384" width="10.8984375" style="167"/>
  </cols>
  <sheetData>
    <row r="1" spans="1:6" ht="17.399999999999999" x14ac:dyDescent="0.25">
      <c r="A1" s="636" t="s">
        <v>391</v>
      </c>
      <c r="B1" s="636"/>
      <c r="C1" s="636"/>
      <c r="D1" s="636"/>
      <c r="E1" s="49" t="s">
        <v>118</v>
      </c>
      <c r="F1" s="217" t="s">
        <v>94</v>
      </c>
    </row>
    <row r="3" spans="1:6" x14ac:dyDescent="0.25">
      <c r="B3" s="218" t="s">
        <v>1534</v>
      </c>
      <c r="C3" s="107"/>
      <c r="D3" s="218" t="s">
        <v>478</v>
      </c>
    </row>
    <row r="4" spans="1:6" x14ac:dyDescent="0.25">
      <c r="A4" s="167" t="s">
        <v>392</v>
      </c>
      <c r="B4" s="172">
        <v>3469108086</v>
      </c>
      <c r="C4" s="219"/>
      <c r="D4" s="172">
        <v>6565463410</v>
      </c>
    </row>
    <row r="6" spans="1:6" x14ac:dyDescent="0.25">
      <c r="A6" s="167" t="s">
        <v>393</v>
      </c>
      <c r="B6" s="219">
        <v>0</v>
      </c>
      <c r="C6" s="219"/>
      <c r="D6" s="219">
        <v>1901930920</v>
      </c>
    </row>
    <row r="7" spans="1:6" x14ac:dyDescent="0.25">
      <c r="A7" s="220" t="s">
        <v>394</v>
      </c>
      <c r="B7" s="221">
        <f>+B6</f>
        <v>0</v>
      </c>
      <c r="C7" s="219"/>
      <c r="D7" s="221">
        <f>+D6</f>
        <v>1901930920</v>
      </c>
    </row>
    <row r="8" spans="1:6" x14ac:dyDescent="0.25">
      <c r="A8" s="220"/>
      <c r="B8" s="219"/>
      <c r="C8" s="219"/>
      <c r="D8" s="219"/>
    </row>
    <row r="9" spans="1:6" x14ac:dyDescent="0.25">
      <c r="A9" s="222" t="s">
        <v>395</v>
      </c>
      <c r="B9" s="219">
        <f>+B4+B7</f>
        <v>3469108086</v>
      </c>
      <c r="C9" s="219"/>
      <c r="D9" s="219">
        <f>+D4+D7</f>
        <v>8467394330</v>
      </c>
    </row>
    <row r="10" spans="1:6" x14ac:dyDescent="0.25">
      <c r="A10" s="223" t="s">
        <v>396</v>
      </c>
      <c r="B10" s="224">
        <v>0.1</v>
      </c>
      <c r="C10" s="224"/>
      <c r="D10" s="224">
        <v>0.1</v>
      </c>
    </row>
    <row r="11" spans="1:6" ht="13.8" thickBot="1" x14ac:dyDescent="0.3">
      <c r="A11" s="225" t="s">
        <v>397</v>
      </c>
      <c r="B11" s="226">
        <f>ROUND(+B9*B10,0)</f>
        <v>346910809</v>
      </c>
      <c r="C11" s="227"/>
      <c r="D11" s="226">
        <f>+D9*D10</f>
        <v>846739433</v>
      </c>
    </row>
    <row r="12" spans="1:6" ht="13.8" thickTop="1" x14ac:dyDescent="0.25">
      <c r="A12" s="220"/>
    </row>
    <row r="14" spans="1:6" x14ac:dyDescent="0.25">
      <c r="B14" s="529"/>
    </row>
    <row r="15" spans="1:6" x14ac:dyDescent="0.25">
      <c r="B15" s="539"/>
    </row>
    <row r="18" spans="2:2" x14ac:dyDescent="0.25">
      <c r="B18" s="227"/>
    </row>
  </sheetData>
  <mergeCells count="1">
    <mergeCell ref="A1:D1"/>
  </mergeCells>
  <hyperlinks>
    <hyperlink ref="F1" location="ER!C28" display="ER" xr:uid="{9AC893B3-1F9E-0A4A-A087-1F3E6D0A36CE}"/>
    <hyperlink ref="E1" location="Indice!D40" display="Indice" xr:uid="{2DB63A82-9865-1F4C-BCB3-D31E6A373603}"/>
  </hyperlink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4EC1C6-EBF8-E444-80CD-36B43C30E07E}">
  <sheetPr>
    <tabColor rgb="FF002060"/>
  </sheetPr>
  <dimension ref="A1:F8"/>
  <sheetViews>
    <sheetView showGridLines="0" zoomScale="120" zoomScaleNormal="120" workbookViewId="0">
      <selection activeCell="C12" sqref="C12"/>
    </sheetView>
  </sheetViews>
  <sheetFormatPr baseColWidth="10" defaultColWidth="10.8984375" defaultRowHeight="13.2" x14ac:dyDescent="0.25"/>
  <cols>
    <col min="1" max="1" width="31.5" style="167" customWidth="1"/>
    <col min="2" max="2" width="15.8984375" style="167" customWidth="1"/>
    <col min="3" max="3" width="4.8984375" style="167" customWidth="1"/>
    <col min="4" max="4" width="17" style="167" customWidth="1"/>
    <col min="5" max="16384" width="10.8984375" style="167"/>
  </cols>
  <sheetData>
    <row r="1" spans="1:6" ht="17.399999999999999" x14ac:dyDescent="0.25">
      <c r="A1" s="636" t="s">
        <v>398</v>
      </c>
      <c r="B1" s="636"/>
      <c r="C1" s="636"/>
      <c r="D1" s="636"/>
      <c r="E1" s="49" t="s">
        <v>118</v>
      </c>
      <c r="F1" s="217" t="s">
        <v>94</v>
      </c>
    </row>
    <row r="2" spans="1:6" ht="131.1" customHeight="1" x14ac:dyDescent="0.25">
      <c r="A2" s="637" t="s">
        <v>399</v>
      </c>
      <c r="B2" s="637"/>
      <c r="C2" s="637"/>
      <c r="D2" s="637"/>
    </row>
    <row r="3" spans="1:6" x14ac:dyDescent="0.25">
      <c r="B3" s="230" t="s">
        <v>1495</v>
      </c>
      <c r="C3" s="107"/>
      <c r="D3" s="230" t="s">
        <v>477</v>
      </c>
    </row>
    <row r="4" spans="1:6" x14ac:dyDescent="0.25">
      <c r="A4" s="167" t="s">
        <v>400</v>
      </c>
      <c r="B4" s="231">
        <v>192173.48</v>
      </c>
      <c r="C4" s="231"/>
      <c r="D4" s="231">
        <v>192173.48</v>
      </c>
    </row>
    <row r="5" spans="1:6" x14ac:dyDescent="0.25">
      <c r="A5" s="167" t="s">
        <v>401</v>
      </c>
      <c r="B5" s="231">
        <f>+ER!C39</f>
        <v>3122197277</v>
      </c>
      <c r="C5" s="231"/>
      <c r="D5" s="231">
        <f>+ER!E39</f>
        <v>5718723977</v>
      </c>
    </row>
    <row r="6" spans="1:6" s="220" customFormat="1" x14ac:dyDescent="0.25">
      <c r="A6" s="220" t="s">
        <v>402</v>
      </c>
      <c r="B6" s="232">
        <f>+B5/B4</f>
        <v>16246.764522347203</v>
      </c>
      <c r="C6" s="232"/>
      <c r="D6" s="232">
        <f>+D5/D4</f>
        <v>29758.133000453548</v>
      </c>
    </row>
    <row r="7" spans="1:6" x14ac:dyDescent="0.25">
      <c r="A7" s="220"/>
    </row>
    <row r="8" spans="1:6" x14ac:dyDescent="0.25">
      <c r="A8" s="228" t="s">
        <v>322</v>
      </c>
      <c r="B8" s="229">
        <f>+B5-EERR!E245</f>
        <v>-0.40000009536743164</v>
      </c>
      <c r="C8" s="229"/>
      <c r="D8" s="229">
        <v>-0.3600006103515625</v>
      </c>
    </row>
  </sheetData>
  <mergeCells count="2">
    <mergeCell ref="A1:D1"/>
    <mergeCell ref="A2:D2"/>
  </mergeCells>
  <hyperlinks>
    <hyperlink ref="F1" location="ER!C32" display="ER" xr:uid="{5CA7EE18-44DF-7142-9EAF-C261670140C2}"/>
    <hyperlink ref="E1" location="Indice!D41" display="Indice" xr:uid="{A0136FA5-E620-3349-9B95-022C60370177}"/>
  </hyperlink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532B16-2227-7D49-9BB7-9E6150CCC5D2}">
  <sheetPr>
    <tabColor rgb="FF002060"/>
  </sheetPr>
  <dimension ref="A1:L75"/>
  <sheetViews>
    <sheetView showGridLines="0" workbookViewId="0">
      <selection activeCell="C61" sqref="C61"/>
    </sheetView>
  </sheetViews>
  <sheetFormatPr baseColWidth="10" defaultColWidth="10.8984375" defaultRowHeight="14.4" outlineLevelRow="1" x14ac:dyDescent="0.3"/>
  <cols>
    <col min="1" max="1" width="19.5" style="234" bestFit="1" customWidth="1"/>
    <col min="2" max="2" width="6.5" style="234" customWidth="1"/>
    <col min="3" max="3" width="12.8984375" style="234" bestFit="1" customWidth="1"/>
    <col min="4" max="4" width="14.09765625" style="234" bestFit="1" customWidth="1"/>
    <col min="5" max="5" width="2.09765625" style="234" customWidth="1"/>
    <col min="6" max="6" width="12" style="234" bestFit="1" customWidth="1"/>
    <col min="7" max="7" width="13.796875" style="234" bestFit="1" customWidth="1"/>
    <col min="8" max="8" width="6.5" style="233" customWidth="1"/>
    <col min="9" max="9" width="12.8984375" style="234" bestFit="1" customWidth="1"/>
    <col min="10" max="10" width="14.8984375" style="234" bestFit="1" customWidth="1"/>
    <col min="11" max="11" width="5" style="235" bestFit="1" customWidth="1"/>
    <col min="12" max="12" width="11.5" style="233" customWidth="1"/>
    <col min="13" max="16384" width="10.8984375" style="234"/>
  </cols>
  <sheetData>
    <row r="1" spans="1:12" ht="17.399999999999999" x14ac:dyDescent="0.3">
      <c r="A1" s="611" t="s">
        <v>403</v>
      </c>
      <c r="B1" s="611"/>
      <c r="C1" s="611"/>
      <c r="D1" s="611"/>
      <c r="E1" s="611"/>
      <c r="F1" s="611"/>
      <c r="G1" s="611"/>
      <c r="H1" s="319" t="s">
        <v>118</v>
      </c>
      <c r="I1" s="217" t="s">
        <v>94</v>
      </c>
    </row>
    <row r="2" spans="1:12" ht="15.6" x14ac:dyDescent="0.3">
      <c r="A2" s="236"/>
      <c r="B2" s="236"/>
      <c r="E2" s="236"/>
    </row>
    <row r="3" spans="1:12" ht="15.6" x14ac:dyDescent="0.3">
      <c r="A3" s="236" t="s">
        <v>404</v>
      </c>
      <c r="B3" s="236"/>
      <c r="E3" s="236"/>
    </row>
    <row r="4" spans="1:12" ht="15.6" x14ac:dyDescent="0.3">
      <c r="A4" s="236"/>
      <c r="B4" s="236"/>
      <c r="E4" s="236"/>
    </row>
    <row r="5" spans="1:12" x14ac:dyDescent="0.3">
      <c r="A5" s="237"/>
      <c r="B5" s="237"/>
      <c r="C5" s="616" t="s">
        <v>1534</v>
      </c>
      <c r="D5" s="616"/>
      <c r="E5" s="237"/>
      <c r="F5" s="616" t="s">
        <v>478</v>
      </c>
      <c r="G5" s="616"/>
      <c r="I5" s="638"/>
      <c r="J5" s="638"/>
      <c r="K5" s="107"/>
      <c r="L5" s="238"/>
    </row>
    <row r="6" spans="1:12" x14ac:dyDescent="0.3">
      <c r="A6" s="239"/>
      <c r="B6" s="239"/>
      <c r="C6" s="240" t="s">
        <v>405</v>
      </c>
      <c r="D6" s="240" t="s">
        <v>406</v>
      </c>
      <c r="E6" s="239"/>
      <c r="F6" s="240" t="s">
        <v>405</v>
      </c>
      <c r="G6" s="240" t="s">
        <v>406</v>
      </c>
      <c r="H6" s="241"/>
      <c r="I6" s="169"/>
      <c r="J6" s="169"/>
      <c r="K6" s="169"/>
    </row>
    <row r="7" spans="1:12" x14ac:dyDescent="0.3">
      <c r="A7" s="242" t="s">
        <v>407</v>
      </c>
      <c r="B7" s="242"/>
      <c r="C7" s="169"/>
      <c r="D7" s="169"/>
      <c r="E7" s="242"/>
      <c r="F7" s="169"/>
      <c r="G7" s="169"/>
      <c r="H7" s="241"/>
      <c r="I7" s="169"/>
      <c r="J7" s="169"/>
      <c r="K7" s="169"/>
    </row>
    <row r="8" spans="1:12" x14ac:dyDescent="0.3">
      <c r="A8" s="242" t="s">
        <v>408</v>
      </c>
      <c r="B8" s="242"/>
      <c r="C8" s="239"/>
      <c r="D8" s="239"/>
      <c r="E8" s="242"/>
      <c r="F8" s="239"/>
      <c r="G8" s="239"/>
      <c r="H8" s="243"/>
      <c r="I8" s="239"/>
      <c r="J8" s="239"/>
      <c r="K8" s="239"/>
    </row>
    <row r="9" spans="1:12" x14ac:dyDescent="0.3">
      <c r="A9" s="239" t="s">
        <v>409</v>
      </c>
      <c r="B9" s="239"/>
      <c r="C9" s="244">
        <v>698799.75</v>
      </c>
      <c r="D9" s="245">
        <f>+C9*7289.83</f>
        <v>5094131381.5424995</v>
      </c>
      <c r="E9" s="239"/>
      <c r="F9" s="244">
        <v>320465.9398598916</v>
      </c>
      <c r="G9" s="245">
        <v>2346740031</v>
      </c>
      <c r="H9" s="246"/>
      <c r="I9" s="245"/>
      <c r="J9" s="245"/>
      <c r="K9" s="247"/>
      <c r="L9" s="247"/>
    </row>
    <row r="10" spans="1:12" x14ac:dyDescent="0.3">
      <c r="A10" s="239" t="s">
        <v>410</v>
      </c>
      <c r="B10" s="239"/>
      <c r="C10" s="244">
        <v>2346635.4800000046</v>
      </c>
      <c r="D10" s="245">
        <f t="shared" ref="D10:D12" si="0">+C10*7289.83</f>
        <v>17106573721.168434</v>
      </c>
      <c r="E10" s="239"/>
      <c r="F10" s="244">
        <v>1271930.3687063868</v>
      </c>
      <c r="G10" s="245">
        <v>9314218897</v>
      </c>
      <c r="H10" s="246"/>
      <c r="I10" s="245"/>
      <c r="J10" s="245"/>
      <c r="K10" s="247"/>
      <c r="L10" s="247"/>
    </row>
    <row r="11" spans="1:12" hidden="1" x14ac:dyDescent="0.3">
      <c r="A11" s="239" t="s">
        <v>411</v>
      </c>
      <c r="B11" s="239"/>
      <c r="C11" s="244">
        <v>0</v>
      </c>
      <c r="D11" s="245">
        <f t="shared" si="0"/>
        <v>0</v>
      </c>
      <c r="E11" s="239"/>
      <c r="F11" s="244">
        <v>0</v>
      </c>
      <c r="G11" s="245">
        <v>0</v>
      </c>
      <c r="H11" s="246"/>
      <c r="I11" s="245"/>
      <c r="J11" s="245"/>
      <c r="K11" s="247"/>
      <c r="L11" s="247"/>
    </row>
    <row r="12" spans="1:12" x14ac:dyDescent="0.3">
      <c r="A12" s="239" t="s">
        <v>412</v>
      </c>
      <c r="B12" s="239"/>
      <c r="C12" s="244">
        <v>6595558.5599999996</v>
      </c>
      <c r="D12" s="245">
        <f t="shared" si="0"/>
        <v>48080500657.444794</v>
      </c>
      <c r="E12" s="239"/>
      <c r="F12" s="244">
        <v>0</v>
      </c>
      <c r="G12" s="245">
        <v>0</v>
      </c>
      <c r="H12" s="246"/>
      <c r="I12" s="245"/>
      <c r="J12" s="245"/>
      <c r="K12" s="247"/>
      <c r="L12" s="247"/>
    </row>
    <row r="13" spans="1:12" s="253" customFormat="1" x14ac:dyDescent="0.3">
      <c r="A13" s="242" t="s">
        <v>413</v>
      </c>
      <c r="B13" s="242"/>
      <c r="C13" s="248">
        <f>SUM(C9:C12)</f>
        <v>9640993.7900000047</v>
      </c>
      <c r="D13" s="360">
        <f>SUM(D9:D12)</f>
        <v>70281205760.155731</v>
      </c>
      <c r="E13" s="242"/>
      <c r="F13" s="248">
        <f>SUM(F9:F12)</f>
        <v>1592396.3085662783</v>
      </c>
      <c r="G13" s="360">
        <f>SUM(G9:G12)</f>
        <v>11660958928</v>
      </c>
      <c r="H13" s="250"/>
      <c r="I13" s="251"/>
      <c r="J13" s="251"/>
      <c r="K13" s="252"/>
      <c r="L13" s="252"/>
    </row>
    <row r="14" spans="1:12" x14ac:dyDescent="0.3">
      <c r="A14" s="242"/>
      <c r="B14" s="242"/>
      <c r="C14" s="245"/>
      <c r="D14" s="245"/>
      <c r="E14" s="242"/>
      <c r="F14" s="245"/>
      <c r="G14" s="245"/>
      <c r="H14" s="246"/>
      <c r="I14" s="245"/>
      <c r="J14" s="245"/>
      <c r="K14" s="247"/>
    </row>
    <row r="15" spans="1:12" hidden="1" x14ac:dyDescent="0.3">
      <c r="A15" s="242" t="s">
        <v>414</v>
      </c>
      <c r="B15" s="242"/>
      <c r="C15" s="245"/>
      <c r="D15" s="245"/>
      <c r="E15" s="242"/>
      <c r="F15" s="245"/>
      <c r="G15" s="245"/>
      <c r="H15" s="246"/>
      <c r="I15" s="245"/>
      <c r="J15" s="245"/>
      <c r="K15" s="247"/>
    </row>
    <row r="16" spans="1:12" hidden="1" x14ac:dyDescent="0.3">
      <c r="A16" s="239" t="s">
        <v>415</v>
      </c>
      <c r="B16" s="242"/>
      <c r="C16" s="244">
        <v>0</v>
      </c>
      <c r="D16" s="245">
        <v>0</v>
      </c>
      <c r="E16" s="242"/>
      <c r="F16" s="244">
        <v>0</v>
      </c>
      <c r="G16" s="245">
        <v>0</v>
      </c>
      <c r="H16" s="246"/>
      <c r="I16" s="245"/>
      <c r="J16" s="245"/>
      <c r="K16" s="247"/>
    </row>
    <row r="17" spans="1:12" s="253" customFormat="1" hidden="1" x14ac:dyDescent="0.3">
      <c r="A17" s="242" t="s">
        <v>416</v>
      </c>
      <c r="B17" s="242"/>
      <c r="C17" s="248">
        <v>0</v>
      </c>
      <c r="D17" s="249">
        <v>0</v>
      </c>
      <c r="E17" s="242"/>
      <c r="F17" s="248">
        <v>0</v>
      </c>
      <c r="G17" s="249">
        <v>0</v>
      </c>
      <c r="H17" s="250"/>
      <c r="I17" s="251"/>
      <c r="J17" s="251"/>
      <c r="K17" s="252"/>
      <c r="L17" s="252"/>
    </row>
    <row r="18" spans="1:12" s="253" customFormat="1" x14ac:dyDescent="0.3">
      <c r="A18" s="242" t="s">
        <v>417</v>
      </c>
      <c r="B18" s="242"/>
      <c r="C18" s="254">
        <f>+C13</f>
        <v>9640993.7900000047</v>
      </c>
      <c r="D18" s="255">
        <f>+D13</f>
        <v>70281205760.155731</v>
      </c>
      <c r="E18" s="242"/>
      <c r="F18" s="254">
        <f>+F13</f>
        <v>1592396.3085662783</v>
      </c>
      <c r="G18" s="255">
        <f>+G13</f>
        <v>11660958928</v>
      </c>
      <c r="H18" s="250"/>
      <c r="I18" s="251"/>
      <c r="J18" s="251"/>
      <c r="K18" s="252"/>
      <c r="L18" s="252"/>
    </row>
    <row r="19" spans="1:12" x14ac:dyDescent="0.3">
      <c r="A19" s="242"/>
      <c r="B19" s="242"/>
      <c r="C19" s="245"/>
      <c r="D19" s="245"/>
      <c r="E19" s="242"/>
      <c r="F19" s="245"/>
      <c r="G19" s="245"/>
      <c r="H19" s="246"/>
      <c r="I19" s="245"/>
      <c r="J19" s="245"/>
      <c r="K19" s="247"/>
    </row>
    <row r="20" spans="1:12" x14ac:dyDescent="0.3">
      <c r="A20" s="242" t="s">
        <v>418</v>
      </c>
      <c r="B20" s="242"/>
      <c r="C20" s="245"/>
      <c r="D20" s="245"/>
      <c r="E20" s="242"/>
      <c r="F20" s="245"/>
      <c r="G20" s="245"/>
      <c r="H20" s="246"/>
      <c r="I20" s="245"/>
      <c r="J20" s="245"/>
      <c r="K20" s="247"/>
    </row>
    <row r="21" spans="1:12" x14ac:dyDescent="0.3">
      <c r="A21" s="242" t="s">
        <v>419</v>
      </c>
      <c r="B21" s="242"/>
      <c r="C21" s="245"/>
      <c r="D21" s="245"/>
      <c r="E21" s="242"/>
      <c r="F21" s="245"/>
      <c r="G21" s="245"/>
      <c r="H21" s="246"/>
      <c r="I21" s="245"/>
      <c r="J21" s="245"/>
      <c r="K21" s="247"/>
    </row>
    <row r="22" spans="1:12" ht="15.75" customHeight="1" x14ac:dyDescent="0.3">
      <c r="A22" s="239" t="s">
        <v>420</v>
      </c>
      <c r="B22" s="239"/>
      <c r="C22" s="244">
        <v>3898411.98</v>
      </c>
      <c r="D22" s="245">
        <f>+C22*7262.6</f>
        <v>28312606845.948002</v>
      </c>
      <c r="E22" s="239"/>
      <c r="F22" s="244">
        <v>-13826.722228126251</v>
      </c>
      <c r="G22" s="245">
        <v>-101482887</v>
      </c>
      <c r="H22" s="246"/>
      <c r="I22" s="245"/>
      <c r="J22" s="245"/>
      <c r="K22" s="247"/>
      <c r="L22" s="247"/>
    </row>
    <row r="23" spans="1:12" ht="15.75" customHeight="1" x14ac:dyDescent="0.3">
      <c r="A23" s="239" t="s">
        <v>508</v>
      </c>
      <c r="B23" s="239"/>
      <c r="C23" s="244">
        <v>-4500000</v>
      </c>
      <c r="D23" s="245">
        <f>+C23*7262.6</f>
        <v>-32681700000</v>
      </c>
      <c r="E23" s="239"/>
      <c r="F23" s="244">
        <v>-237452.04002387045</v>
      </c>
      <c r="G23" s="245">
        <v>-1742807742</v>
      </c>
      <c r="H23" s="246"/>
      <c r="I23" s="245"/>
      <c r="J23" s="245"/>
      <c r="K23" s="247"/>
      <c r="L23" s="247"/>
    </row>
    <row r="24" spans="1:12" s="253" customFormat="1" x14ac:dyDescent="0.3">
      <c r="A24" s="242" t="s">
        <v>421</v>
      </c>
      <c r="B24" s="242"/>
      <c r="C24" s="248">
        <f>SUM(C22:C23)</f>
        <v>-601588.02</v>
      </c>
      <c r="D24" s="249">
        <f>SUM(D22:D23)</f>
        <v>-4369093154.0519981</v>
      </c>
      <c r="E24" s="242"/>
      <c r="F24" s="248">
        <f>SUM(F22:F23)</f>
        <v>-251278.7622519967</v>
      </c>
      <c r="G24" s="249">
        <f>SUM(G22:G23)</f>
        <v>-1844290629</v>
      </c>
      <c r="H24" s="250"/>
      <c r="I24" s="251"/>
      <c r="J24" s="251"/>
      <c r="K24" s="252"/>
      <c r="L24" s="252"/>
    </row>
    <row r="25" spans="1:12" x14ac:dyDescent="0.3">
      <c r="A25" s="242"/>
      <c r="B25" s="242"/>
      <c r="C25" s="245"/>
      <c r="D25" s="245"/>
      <c r="E25" s="242"/>
      <c r="F25" s="245"/>
      <c r="G25" s="245"/>
      <c r="H25" s="250"/>
      <c r="I25" s="245"/>
      <c r="J25" s="256"/>
      <c r="L25" s="247"/>
    </row>
    <row r="26" spans="1:12" x14ac:dyDescent="0.3">
      <c r="L26" s="234"/>
    </row>
    <row r="27" spans="1:12" x14ac:dyDescent="0.3">
      <c r="A27" s="361" t="s">
        <v>509</v>
      </c>
      <c r="B27" s="361"/>
      <c r="C27" s="362"/>
      <c r="D27" s="362"/>
      <c r="E27" s="361"/>
      <c r="F27" s="362"/>
      <c r="G27" s="362"/>
      <c r="L27" s="234"/>
    </row>
    <row r="28" spans="1:12" x14ac:dyDescent="0.3">
      <c r="A28" s="363" t="s">
        <v>510</v>
      </c>
      <c r="B28" s="364"/>
      <c r="C28" s="365">
        <v>-13500000</v>
      </c>
      <c r="D28" s="245">
        <f>+C28*7262.6</f>
        <v>-98045100000</v>
      </c>
      <c r="E28" s="364"/>
      <c r="F28" s="365">
        <v>-6658301.3600159138</v>
      </c>
      <c r="G28" s="362">
        <v>-48869401828</v>
      </c>
      <c r="L28" s="234"/>
    </row>
    <row r="29" spans="1:12" x14ac:dyDescent="0.3">
      <c r="A29" s="361" t="s">
        <v>511</v>
      </c>
      <c r="B29" s="361"/>
      <c r="C29" s="366">
        <f>SUM(C28:C28)</f>
        <v>-13500000</v>
      </c>
      <c r="D29" s="367">
        <f>SUM(D28:D28)</f>
        <v>-98045100000</v>
      </c>
      <c r="E29" s="361"/>
      <c r="F29" s="366">
        <f>SUM(F28:F28)</f>
        <v>-6658301.3600159138</v>
      </c>
      <c r="G29" s="367">
        <f>SUM(G28:G28)</f>
        <v>-48869401828</v>
      </c>
      <c r="L29" s="234"/>
    </row>
    <row r="30" spans="1:12" x14ac:dyDescent="0.3">
      <c r="A30" s="361" t="s">
        <v>512</v>
      </c>
      <c r="B30" s="361"/>
      <c r="C30" s="368">
        <f>+C29+C24</f>
        <v>-14101588.02</v>
      </c>
      <c r="D30" s="369">
        <f>+D29+D24</f>
        <v>-102414193154.052</v>
      </c>
      <c r="E30" s="361"/>
      <c r="F30" s="368">
        <f>+F29+F24</f>
        <v>-6909580.1222679103</v>
      </c>
      <c r="G30" s="369">
        <f>+G29+G24</f>
        <v>-50713692457</v>
      </c>
      <c r="L30" s="234"/>
    </row>
    <row r="31" spans="1:12" x14ac:dyDescent="0.3">
      <c r="A31" s="361"/>
      <c r="B31" s="361"/>
      <c r="C31" s="370"/>
      <c r="D31" s="371"/>
      <c r="E31" s="372"/>
      <c r="F31" s="370"/>
      <c r="G31" s="371"/>
      <c r="L31" s="234"/>
    </row>
    <row r="32" spans="1:12" ht="15" thickBot="1" x14ac:dyDescent="0.35">
      <c r="A32" s="361" t="s">
        <v>422</v>
      </c>
      <c r="B32" s="361"/>
      <c r="C32" s="373">
        <f>+C18+C30</f>
        <v>-4460594.2299999949</v>
      </c>
      <c r="D32" s="374">
        <f>+D18+D30</f>
        <v>-32132987393.896271</v>
      </c>
      <c r="E32" s="361"/>
      <c r="F32" s="373">
        <f>+F18+F30</f>
        <v>-5317183.8137016315</v>
      </c>
      <c r="G32" s="374">
        <f>+G18+G30</f>
        <v>-39052733529</v>
      </c>
      <c r="L32" s="234"/>
    </row>
    <row r="33" spans="1:12" ht="15" thickTop="1" x14ac:dyDescent="0.3">
      <c r="L33" s="234"/>
    </row>
    <row r="34" spans="1:12" x14ac:dyDescent="0.3">
      <c r="L34" s="234"/>
    </row>
    <row r="36" spans="1:12" x14ac:dyDescent="0.3">
      <c r="A36" s="237"/>
      <c r="B36" s="237"/>
      <c r="C36" s="616" t="s">
        <v>1534</v>
      </c>
      <c r="D36" s="616"/>
      <c r="E36" s="237"/>
      <c r="F36" s="616" t="s">
        <v>478</v>
      </c>
      <c r="G36" s="616"/>
    </row>
    <row r="37" spans="1:12" x14ac:dyDescent="0.3">
      <c r="A37" s="239"/>
      <c r="B37" s="239"/>
      <c r="C37" s="240" t="s">
        <v>423</v>
      </c>
      <c r="D37" s="240" t="s">
        <v>406</v>
      </c>
      <c r="E37" s="239"/>
      <c r="F37" s="240" t="s">
        <v>423</v>
      </c>
      <c r="G37" s="240" t="s">
        <v>406</v>
      </c>
    </row>
    <row r="38" spans="1:12" x14ac:dyDescent="0.3">
      <c r="A38" s="242" t="s">
        <v>407</v>
      </c>
      <c r="B38" s="242"/>
      <c r="C38" s="169"/>
      <c r="D38" s="169"/>
      <c r="E38" s="242"/>
      <c r="F38" s="169"/>
      <c r="G38" s="169"/>
    </row>
    <row r="39" spans="1:12" x14ac:dyDescent="0.3">
      <c r="A39" s="242" t="s">
        <v>408</v>
      </c>
      <c r="B39" s="242"/>
      <c r="C39" s="239"/>
      <c r="D39" s="239"/>
      <c r="E39" s="242"/>
      <c r="F39" s="239"/>
      <c r="G39" s="239"/>
    </row>
    <row r="40" spans="1:12" x14ac:dyDescent="0.3">
      <c r="A40" s="239" t="s">
        <v>424</v>
      </c>
      <c r="B40" s="239"/>
      <c r="C40" s="244">
        <v>223669.39</v>
      </c>
      <c r="D40" s="245">
        <f>+C40*1510.23</f>
        <v>337792222.85970002</v>
      </c>
      <c r="E40" s="239"/>
      <c r="F40" s="244">
        <v>563570.12078467209</v>
      </c>
      <c r="G40" s="245">
        <v>789471568</v>
      </c>
    </row>
    <row r="41" spans="1:12" x14ac:dyDescent="0.3">
      <c r="A41" s="239" t="s">
        <v>410</v>
      </c>
      <c r="B41" s="239"/>
      <c r="C41" s="244">
        <v>0</v>
      </c>
      <c r="D41" s="245">
        <f>+C41*1510.23</f>
        <v>0</v>
      </c>
      <c r="E41" s="239"/>
      <c r="F41" s="244">
        <v>0</v>
      </c>
      <c r="G41" s="245">
        <v>0</v>
      </c>
    </row>
    <row r="42" spans="1:12" x14ac:dyDescent="0.3">
      <c r="A42" s="239" t="s">
        <v>412</v>
      </c>
      <c r="B42" s="239"/>
      <c r="C42" s="244">
        <v>0</v>
      </c>
      <c r="D42" s="245">
        <f>+C42*1510.23</f>
        <v>0</v>
      </c>
      <c r="E42" s="239"/>
      <c r="F42" s="244">
        <v>0</v>
      </c>
      <c r="G42" s="245">
        <v>0</v>
      </c>
    </row>
    <row r="43" spans="1:12" x14ac:dyDescent="0.3">
      <c r="A43" s="242" t="s">
        <v>417</v>
      </c>
      <c r="B43" s="242"/>
      <c r="C43" s="258">
        <f>SUM(C40:C42)</f>
        <v>223669.39</v>
      </c>
      <c r="D43" s="259">
        <f>SUM(D40:D42)</f>
        <v>337792222.85970002</v>
      </c>
      <c r="E43" s="242"/>
      <c r="F43" s="258">
        <v>563570.12078467209</v>
      </c>
      <c r="G43" s="259">
        <v>789471568</v>
      </c>
    </row>
    <row r="44" spans="1:12" x14ac:dyDescent="0.3">
      <c r="A44" s="242"/>
      <c r="B44" s="242"/>
      <c r="C44" s="260"/>
      <c r="D44" s="261"/>
      <c r="E44" s="242"/>
      <c r="F44" s="260"/>
      <c r="G44" s="261"/>
    </row>
    <row r="45" spans="1:12" x14ac:dyDescent="0.3">
      <c r="A45" s="242" t="s">
        <v>418</v>
      </c>
      <c r="B45" s="242"/>
      <c r="C45" s="245"/>
      <c r="D45" s="245"/>
      <c r="E45" s="242"/>
      <c r="F45" s="245"/>
      <c r="G45" s="245"/>
    </row>
    <row r="46" spans="1:12" x14ac:dyDescent="0.3">
      <c r="A46" s="242" t="s">
        <v>419</v>
      </c>
      <c r="B46" s="242"/>
      <c r="C46" s="245"/>
      <c r="D46" s="245"/>
      <c r="E46" s="242"/>
      <c r="F46" s="245"/>
      <c r="G46" s="245"/>
    </row>
    <row r="47" spans="1:12" x14ac:dyDescent="0.3">
      <c r="A47" s="239" t="s">
        <v>420</v>
      </c>
      <c r="B47" s="239"/>
      <c r="C47" s="244">
        <v>-168958.01</v>
      </c>
      <c r="D47" s="245">
        <f>+C47*1511.37</f>
        <v>-255358067.57369998</v>
      </c>
      <c r="E47" s="239"/>
      <c r="F47" s="244">
        <v>0</v>
      </c>
      <c r="G47" s="245">
        <v>0</v>
      </c>
    </row>
    <row r="48" spans="1:12" x14ac:dyDescent="0.3">
      <c r="A48" s="239" t="s">
        <v>1512</v>
      </c>
      <c r="B48" s="239"/>
      <c r="C48" s="244">
        <v>0</v>
      </c>
      <c r="D48" s="245">
        <f>+C48*7262.6</f>
        <v>0</v>
      </c>
      <c r="E48" s="239"/>
      <c r="F48" s="244">
        <v>0</v>
      </c>
      <c r="G48" s="245">
        <v>0</v>
      </c>
    </row>
    <row r="49" spans="1:12" x14ac:dyDescent="0.3">
      <c r="A49" s="242" t="s">
        <v>421</v>
      </c>
      <c r="B49" s="242"/>
      <c r="C49" s="248">
        <f>SUM(C47:C48)</f>
        <v>-168958.01</v>
      </c>
      <c r="D49" s="249">
        <f>SUM(D47:D48)</f>
        <v>-255358067.57369998</v>
      </c>
      <c r="E49" s="242"/>
      <c r="F49" s="248">
        <f>SUM(F47:F48)</f>
        <v>0</v>
      </c>
      <c r="G49" s="249">
        <f>SUM(G47:G48)</f>
        <v>0</v>
      </c>
    </row>
    <row r="50" spans="1:12" x14ac:dyDescent="0.3">
      <c r="A50" s="242"/>
      <c r="B50" s="242"/>
      <c r="C50" s="260"/>
      <c r="D50" s="261"/>
      <c r="E50" s="242"/>
      <c r="F50" s="260"/>
      <c r="G50" s="261"/>
    </row>
    <row r="51" spans="1:12" x14ac:dyDescent="0.3">
      <c r="A51" s="242"/>
      <c r="B51" s="242"/>
      <c r="C51" s="260"/>
      <c r="D51" s="261"/>
      <c r="E51" s="242"/>
      <c r="F51" s="260"/>
      <c r="G51" s="261"/>
    </row>
    <row r="52" spans="1:12" ht="15" thickBot="1" x14ac:dyDescent="0.35">
      <c r="A52" s="242" t="s">
        <v>422</v>
      </c>
      <c r="B52" s="242"/>
      <c r="C52" s="262">
        <f>+C43+C49</f>
        <v>54711.380000000005</v>
      </c>
      <c r="D52" s="263">
        <f>+D43+D49</f>
        <v>82434155.286000043</v>
      </c>
      <c r="E52" s="242"/>
      <c r="F52" s="262">
        <f>+F43-F49</f>
        <v>563570.12078467209</v>
      </c>
      <c r="G52" s="263">
        <f>+G43-G49</f>
        <v>789471568</v>
      </c>
    </row>
    <row r="53" spans="1:12" ht="15" thickTop="1" x14ac:dyDescent="0.3">
      <c r="A53" s="242"/>
      <c r="B53" s="242"/>
      <c r="C53" s="264"/>
      <c r="D53" s="264"/>
      <c r="E53" s="242"/>
      <c r="F53" s="264"/>
      <c r="G53" s="264"/>
    </row>
    <row r="54" spans="1:12" x14ac:dyDescent="0.3">
      <c r="A54" s="242"/>
      <c r="B54" s="242"/>
      <c r="C54" s="264"/>
      <c r="D54" s="264"/>
      <c r="E54" s="242"/>
      <c r="F54" s="264"/>
      <c r="G54" s="264"/>
    </row>
    <row r="55" spans="1:12" outlineLevel="1" x14ac:dyDescent="0.3">
      <c r="A55" s="237"/>
      <c r="B55" s="237"/>
      <c r="C55" s="616" t="str">
        <f>+C5</f>
        <v>Set-2023</v>
      </c>
      <c r="D55" s="616"/>
      <c r="E55" s="237"/>
      <c r="F55" s="616" t="s">
        <v>478</v>
      </c>
      <c r="G55" s="616"/>
      <c r="I55" s="638"/>
      <c r="J55" s="638"/>
      <c r="K55" s="107"/>
    </row>
    <row r="56" spans="1:12" outlineLevel="1" x14ac:dyDescent="0.3">
      <c r="A56" s="239"/>
      <c r="B56" s="239"/>
      <c r="C56" s="257" t="s">
        <v>425</v>
      </c>
      <c r="D56" s="240" t="s">
        <v>406</v>
      </c>
      <c r="E56" s="239"/>
      <c r="F56" s="257" t="s">
        <v>425</v>
      </c>
      <c r="G56" s="240" t="s">
        <v>406</v>
      </c>
      <c r="H56" s="241"/>
      <c r="I56" s="265"/>
      <c r="J56" s="169"/>
      <c r="K56" s="169"/>
    </row>
    <row r="57" spans="1:12" outlineLevel="1" x14ac:dyDescent="0.3">
      <c r="A57" s="242" t="s">
        <v>407</v>
      </c>
      <c r="B57" s="242"/>
      <c r="C57" s="169"/>
      <c r="D57" s="169"/>
      <c r="E57" s="242"/>
      <c r="F57" s="169"/>
      <c r="G57" s="169"/>
      <c r="H57" s="241"/>
      <c r="I57" s="169"/>
      <c r="J57" s="169"/>
      <c r="K57" s="169"/>
    </row>
    <row r="58" spans="1:12" outlineLevel="1" x14ac:dyDescent="0.3">
      <c r="A58" s="242" t="s">
        <v>408</v>
      </c>
      <c r="B58" s="242"/>
      <c r="C58" s="239"/>
      <c r="D58" s="239"/>
      <c r="E58" s="242"/>
      <c r="F58" s="239"/>
      <c r="G58" s="239"/>
      <c r="H58" s="243"/>
      <c r="I58" s="239"/>
      <c r="J58" s="239"/>
      <c r="K58" s="239"/>
    </row>
    <row r="59" spans="1:12" outlineLevel="1" x14ac:dyDescent="0.3">
      <c r="A59" s="239" t="s">
        <v>426</v>
      </c>
      <c r="B59" s="239"/>
      <c r="C59" s="375">
        <v>1704.5</v>
      </c>
      <c r="D59" s="245">
        <f>+C59*7921.41</f>
        <v>13502043.345000001</v>
      </c>
      <c r="E59" s="239"/>
      <c r="F59" s="375">
        <v>1704.5000359059061</v>
      </c>
      <c r="G59" s="245">
        <v>13291964</v>
      </c>
      <c r="H59" s="266"/>
      <c r="I59" s="261"/>
      <c r="J59" s="261"/>
      <c r="K59" s="247"/>
      <c r="L59" s="247"/>
    </row>
    <row r="60" spans="1:12" outlineLevel="1" x14ac:dyDescent="0.3">
      <c r="A60" s="239" t="s">
        <v>412</v>
      </c>
      <c r="B60" s="239"/>
      <c r="C60" s="375">
        <v>0</v>
      </c>
      <c r="D60" s="245">
        <f>+C60*7921.41</f>
        <v>0</v>
      </c>
      <c r="E60" s="239"/>
      <c r="F60" s="375"/>
      <c r="G60" s="245"/>
      <c r="H60" s="266"/>
      <c r="I60" s="261"/>
      <c r="J60" s="261"/>
      <c r="K60" s="247"/>
      <c r="L60" s="247"/>
    </row>
    <row r="61" spans="1:12" s="253" customFormat="1" outlineLevel="1" x14ac:dyDescent="0.3">
      <c r="A61" s="242" t="s">
        <v>417</v>
      </c>
      <c r="B61" s="242"/>
      <c r="C61" s="376">
        <f>SUM(C59:C60)</f>
        <v>1704.5</v>
      </c>
      <c r="D61" s="259">
        <f>SUM(D59:D60)</f>
        <v>13502043.345000001</v>
      </c>
      <c r="E61" s="242"/>
      <c r="F61" s="376">
        <v>1704.5000359059061</v>
      </c>
      <c r="G61" s="259">
        <v>13291964</v>
      </c>
      <c r="H61" s="267"/>
      <c r="I61" s="264"/>
      <c r="J61" s="264"/>
      <c r="K61" s="252"/>
      <c r="L61" s="252"/>
    </row>
    <row r="62" spans="1:12" outlineLevel="1" x14ac:dyDescent="0.3">
      <c r="A62" s="242"/>
      <c r="B62" s="242"/>
      <c r="C62" s="377"/>
      <c r="D62" s="261"/>
      <c r="E62" s="242"/>
      <c r="F62" s="377"/>
      <c r="G62" s="261"/>
      <c r="H62" s="267"/>
      <c r="I62" s="261"/>
      <c r="J62" s="268"/>
      <c r="L62" s="247"/>
    </row>
    <row r="63" spans="1:12" outlineLevel="1" x14ac:dyDescent="0.3">
      <c r="A63" s="242" t="s">
        <v>418</v>
      </c>
      <c r="B63" s="242"/>
      <c r="C63" s="245"/>
      <c r="D63" s="245"/>
      <c r="E63" s="242"/>
      <c r="F63" s="245"/>
      <c r="G63" s="245"/>
      <c r="H63" s="267"/>
      <c r="I63" s="261"/>
      <c r="J63" s="268"/>
      <c r="L63" s="247"/>
    </row>
    <row r="64" spans="1:12" outlineLevel="1" x14ac:dyDescent="0.3">
      <c r="A64" s="242" t="s">
        <v>419</v>
      </c>
      <c r="B64" s="242"/>
      <c r="C64" s="245"/>
      <c r="D64" s="245"/>
      <c r="E64" s="242"/>
      <c r="F64" s="245"/>
      <c r="G64" s="245"/>
      <c r="H64" s="267"/>
      <c r="I64" s="261"/>
      <c r="J64" s="268"/>
      <c r="L64" s="247"/>
    </row>
    <row r="65" spans="1:12" outlineLevel="1" x14ac:dyDescent="0.3">
      <c r="A65" s="239" t="s">
        <v>420</v>
      </c>
      <c r="B65" s="239"/>
      <c r="C65" s="244">
        <v>-168955.91</v>
      </c>
      <c r="D65" s="245">
        <f>+C65*7927.13</f>
        <v>-1339335462.8383</v>
      </c>
      <c r="E65" s="239"/>
      <c r="F65" s="244">
        <v>0</v>
      </c>
      <c r="G65" s="245">
        <v>0</v>
      </c>
      <c r="H65" s="267"/>
      <c r="I65" s="261"/>
      <c r="J65" s="268"/>
      <c r="L65" s="247"/>
    </row>
    <row r="66" spans="1:12" outlineLevel="1" x14ac:dyDescent="0.3">
      <c r="A66" s="239" t="s">
        <v>1513</v>
      </c>
      <c r="B66" s="239"/>
      <c r="C66" s="244">
        <v>0</v>
      </c>
      <c r="D66" s="245">
        <f>+C66*7262.6</f>
        <v>0</v>
      </c>
      <c r="E66" s="239"/>
      <c r="F66" s="244">
        <v>0</v>
      </c>
      <c r="G66" s="245">
        <v>0</v>
      </c>
      <c r="H66" s="267"/>
      <c r="I66" s="261"/>
      <c r="J66" s="268"/>
      <c r="L66" s="247"/>
    </row>
    <row r="67" spans="1:12" outlineLevel="1" x14ac:dyDescent="0.3">
      <c r="A67" s="242" t="s">
        <v>421</v>
      </c>
      <c r="B67" s="242"/>
      <c r="C67" s="248">
        <f>SUM(C65:C66)</f>
        <v>-168955.91</v>
      </c>
      <c r="D67" s="249">
        <f>SUM(D65:D66)</f>
        <v>-1339335462.8383</v>
      </c>
      <c r="E67" s="242"/>
      <c r="F67" s="248">
        <f>SUM(F65:F66)</f>
        <v>0</v>
      </c>
      <c r="G67" s="249">
        <f>SUM(G65:G66)</f>
        <v>0</v>
      </c>
      <c r="H67" s="267"/>
      <c r="I67" s="261"/>
      <c r="J67" s="268"/>
      <c r="L67" s="247"/>
    </row>
    <row r="68" spans="1:12" outlineLevel="1" x14ac:dyDescent="0.3">
      <c r="A68" s="242"/>
      <c r="B68" s="242"/>
      <c r="C68" s="377"/>
      <c r="D68" s="261"/>
      <c r="E68" s="242"/>
      <c r="F68" s="377"/>
      <c r="G68" s="261"/>
      <c r="H68" s="267"/>
      <c r="I68" s="261"/>
      <c r="J68" s="268"/>
      <c r="L68" s="247"/>
    </row>
    <row r="69" spans="1:12" s="253" customFormat="1" ht="15" outlineLevel="1" thickBot="1" x14ac:dyDescent="0.35">
      <c r="A69" s="242" t="s">
        <v>422</v>
      </c>
      <c r="B69" s="242"/>
      <c r="C69" s="262">
        <f>+C61+C67</f>
        <v>-167251.41</v>
      </c>
      <c r="D69" s="263">
        <f>+D67+D61</f>
        <v>-1325833419.4933</v>
      </c>
      <c r="E69" s="242"/>
      <c r="F69" s="378">
        <f>+F61-F67</f>
        <v>1704.5000359059061</v>
      </c>
      <c r="G69" s="263">
        <f>+G61-G67</f>
        <v>13291964</v>
      </c>
      <c r="H69" s="267"/>
      <c r="I69" s="264"/>
      <c r="J69" s="264"/>
      <c r="K69" s="269"/>
      <c r="L69" s="252"/>
    </row>
    <row r="70" spans="1:12" ht="15" thickTop="1" x14ac:dyDescent="0.3">
      <c r="K70" s="234"/>
    </row>
    <row r="71" spans="1:12" x14ac:dyDescent="0.3">
      <c r="C71" s="256"/>
      <c r="D71" s="256"/>
      <c r="F71" s="256"/>
      <c r="G71" s="256"/>
      <c r="H71" s="270"/>
      <c r="I71" s="256"/>
      <c r="J71" s="256"/>
    </row>
    <row r="75" spans="1:12" x14ac:dyDescent="0.3">
      <c r="A75" s="271"/>
      <c r="B75" s="271"/>
      <c r="E75" s="271"/>
    </row>
  </sheetData>
  <mergeCells count="9">
    <mergeCell ref="C55:D55"/>
    <mergeCell ref="F55:G55"/>
    <mergeCell ref="I55:J55"/>
    <mergeCell ref="A1:G1"/>
    <mergeCell ref="C5:D5"/>
    <mergeCell ref="F5:G5"/>
    <mergeCell ref="I5:J5"/>
    <mergeCell ref="C36:D36"/>
    <mergeCell ref="F36:G36"/>
  </mergeCells>
  <hyperlinks>
    <hyperlink ref="I1" location="ER!C32" display="ER" xr:uid="{6D00F37C-E7FA-4F0E-BB91-20B5413AFE7A}"/>
    <hyperlink ref="H1" location="Indice!D42" display="Indice" xr:uid="{C27A1339-0613-43BA-9889-5E0C3EA0299D}"/>
  </hyperlink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672A82-26F0-4344-A525-BE9C1A126149}">
  <sheetPr>
    <tabColor rgb="FF002060"/>
  </sheetPr>
  <dimension ref="A1:M54"/>
  <sheetViews>
    <sheetView showGridLines="0" zoomScale="94" workbookViewId="0">
      <selection activeCell="B13" sqref="B13"/>
    </sheetView>
  </sheetViews>
  <sheetFormatPr baseColWidth="10" defaultColWidth="10.8984375" defaultRowHeight="14.4" x14ac:dyDescent="0.3"/>
  <cols>
    <col min="1" max="1" width="39.5" style="274" customWidth="1"/>
    <col min="2" max="2" width="13.09765625" style="274" bestFit="1" customWidth="1"/>
    <col min="3" max="3" width="2.09765625" style="274" customWidth="1"/>
    <col min="4" max="4" width="13.09765625" style="274" bestFit="1" customWidth="1"/>
    <col min="5" max="5" width="17.5" style="274" customWidth="1"/>
    <col min="6" max="8" width="4.5" style="234" customWidth="1"/>
    <col min="9" max="10" width="10.8984375" style="234"/>
    <col min="11" max="11" width="25.3984375" style="234" bestFit="1" customWidth="1"/>
    <col min="12" max="13" width="13.59765625" style="234" bestFit="1" customWidth="1"/>
    <col min="14" max="16384" width="10.8984375" style="234"/>
  </cols>
  <sheetData>
    <row r="1" spans="1:13" ht="15.6" x14ac:dyDescent="0.3">
      <c r="E1" s="319" t="s">
        <v>118</v>
      </c>
      <c r="F1" s="217" t="s">
        <v>94</v>
      </c>
    </row>
    <row r="2" spans="1:13" ht="17.399999999999999" x14ac:dyDescent="0.3">
      <c r="A2" s="611" t="s">
        <v>472</v>
      </c>
      <c r="B2" s="611"/>
      <c r="C2" s="611"/>
      <c r="D2" s="611"/>
      <c r="E2" s="272"/>
      <c r="F2" s="272"/>
      <c r="G2" s="272"/>
    </row>
    <row r="3" spans="1:13" ht="15.6" x14ac:dyDescent="0.3">
      <c r="A3" s="273"/>
      <c r="B3" s="273"/>
      <c r="C3" s="273"/>
      <c r="D3" s="273"/>
      <c r="E3" s="273"/>
      <c r="H3" s="98"/>
      <c r="I3" s="98"/>
      <c r="J3" s="98"/>
      <c r="K3" s="98"/>
      <c r="L3" s="98"/>
      <c r="M3" s="98"/>
    </row>
    <row r="4" spans="1:13" ht="15.6" x14ac:dyDescent="0.3">
      <c r="A4" s="379"/>
      <c r="B4" s="379"/>
      <c r="C4" s="379"/>
      <c r="D4" s="379"/>
      <c r="E4" s="379"/>
      <c r="F4" s="379"/>
      <c r="G4" s="379"/>
      <c r="H4" s="379"/>
    </row>
    <row r="5" spans="1:13" x14ac:dyDescent="0.3">
      <c r="A5" s="380"/>
      <c r="B5" s="380"/>
      <c r="C5" s="380"/>
      <c r="D5" s="380"/>
      <c r="E5" s="380"/>
      <c r="F5" s="380"/>
      <c r="G5" s="380"/>
      <c r="H5" s="380"/>
    </row>
    <row r="6" spans="1:13" ht="15.6" x14ac:dyDescent="0.3">
      <c r="A6" s="381"/>
      <c r="B6" s="380"/>
      <c r="C6" s="380"/>
      <c r="D6" s="380"/>
      <c r="E6" s="382"/>
      <c r="F6" s="379"/>
      <c r="G6" s="379"/>
      <c r="H6" s="379"/>
    </row>
    <row r="7" spans="1:13" ht="15.6" x14ac:dyDescent="0.3">
      <c r="A7" s="381"/>
      <c r="B7" s="380"/>
      <c r="C7" s="380"/>
      <c r="D7" s="380"/>
      <c r="E7" s="382"/>
      <c r="F7" s="379"/>
      <c r="G7" s="379"/>
      <c r="H7" s="379"/>
    </row>
    <row r="8" spans="1:13" ht="15.6" x14ac:dyDescent="0.3">
      <c r="A8" s="381" t="s">
        <v>407</v>
      </c>
      <c r="B8" s="383" t="s">
        <v>1534</v>
      </c>
      <c r="C8" s="382"/>
      <c r="D8" s="383" t="s">
        <v>478</v>
      </c>
      <c r="E8" s="384"/>
      <c r="F8" s="379"/>
      <c r="G8" s="379"/>
      <c r="H8" s="379"/>
    </row>
    <row r="9" spans="1:13" ht="15.6" x14ac:dyDescent="0.3">
      <c r="A9" s="381" t="s">
        <v>513</v>
      </c>
      <c r="B9" s="386"/>
      <c r="C9" s="387"/>
      <c r="D9" s="386"/>
      <c r="E9" s="387"/>
      <c r="F9" s="379"/>
      <c r="G9" s="379"/>
      <c r="H9" s="379"/>
    </row>
    <row r="10" spans="1:13" ht="15.6" x14ac:dyDescent="0.3">
      <c r="A10" s="381" t="s">
        <v>514</v>
      </c>
      <c r="B10" s="386"/>
      <c r="C10" s="387"/>
      <c r="D10" s="386"/>
      <c r="E10" s="387"/>
      <c r="F10" s="379"/>
      <c r="G10" s="379"/>
      <c r="H10" s="379"/>
    </row>
    <row r="11" spans="1:13" ht="15.6" x14ac:dyDescent="0.3">
      <c r="A11" s="356" t="s">
        <v>515</v>
      </c>
      <c r="B11" s="396">
        <v>21554755159</v>
      </c>
      <c r="C11" s="389"/>
      <c r="D11" s="388">
        <v>61909052436</v>
      </c>
      <c r="E11" s="389"/>
      <c r="F11" s="379"/>
      <c r="G11" s="379"/>
      <c r="H11" s="379"/>
    </row>
    <row r="12" spans="1:13" ht="15.6" x14ac:dyDescent="0.3">
      <c r="A12" s="356" t="s">
        <v>301</v>
      </c>
      <c r="B12" s="396">
        <v>0</v>
      </c>
      <c r="C12" s="389"/>
      <c r="D12" s="388">
        <v>0</v>
      </c>
      <c r="E12" s="389"/>
      <c r="F12" s="379"/>
      <c r="G12" s="379"/>
      <c r="H12" s="379"/>
    </row>
    <row r="13" spans="1:13" ht="15.6" x14ac:dyDescent="0.3">
      <c r="A13" s="356" t="s">
        <v>319</v>
      </c>
      <c r="B13" s="396">
        <f>+'2023'!C171</f>
        <v>0</v>
      </c>
      <c r="C13" s="389"/>
      <c r="D13" s="388">
        <v>3870500</v>
      </c>
      <c r="E13" s="389"/>
      <c r="F13" s="379"/>
      <c r="G13" s="379"/>
      <c r="H13" s="379"/>
    </row>
    <row r="14" spans="1:13" ht="15.6" x14ac:dyDescent="0.3">
      <c r="A14" s="356" t="s">
        <v>868</v>
      </c>
      <c r="B14" s="396">
        <v>0</v>
      </c>
      <c r="C14" s="389"/>
      <c r="D14" s="388">
        <v>0</v>
      </c>
      <c r="E14" s="389"/>
      <c r="F14" s="379"/>
      <c r="G14" s="379"/>
      <c r="H14" s="379"/>
    </row>
    <row r="15" spans="1:13" ht="16.2" thickBot="1" x14ac:dyDescent="0.35">
      <c r="A15" s="390" t="s">
        <v>428</v>
      </c>
      <c r="B15" s="570">
        <f>SUM(B11:B14)</f>
        <v>21554755159</v>
      </c>
      <c r="C15" s="392"/>
      <c r="D15" s="391">
        <f>SUM(D11:D14)</f>
        <v>61912922936</v>
      </c>
      <c r="E15" s="392"/>
      <c r="F15" s="379"/>
      <c r="G15" s="379"/>
      <c r="H15" s="379"/>
    </row>
    <row r="16" spans="1:13" ht="16.2" thickTop="1" x14ac:dyDescent="0.3">
      <c r="A16" s="381"/>
      <c r="B16" s="382"/>
      <c r="C16" s="382"/>
      <c r="D16" s="382"/>
      <c r="E16" s="382"/>
      <c r="F16" s="379"/>
      <c r="G16" s="379"/>
      <c r="H16" s="379"/>
    </row>
    <row r="17" spans="1:8" ht="15.6" x14ac:dyDescent="0.3">
      <c r="A17" s="381" t="s">
        <v>418</v>
      </c>
      <c r="B17" s="385"/>
      <c r="C17" s="384"/>
      <c r="D17" s="385"/>
      <c r="E17" s="384"/>
      <c r="F17" s="379"/>
      <c r="G17" s="379"/>
      <c r="H17" s="379"/>
    </row>
    <row r="18" spans="1:8" ht="15.6" x14ac:dyDescent="0.3">
      <c r="A18" s="381" t="s">
        <v>427</v>
      </c>
      <c r="B18" s="386"/>
      <c r="C18" s="387"/>
      <c r="D18" s="386"/>
      <c r="E18" s="387"/>
      <c r="F18" s="379"/>
      <c r="G18" s="379"/>
      <c r="H18" s="379"/>
    </row>
    <row r="19" spans="1:8" ht="15.6" x14ac:dyDescent="0.3">
      <c r="A19" s="381" t="s">
        <v>516</v>
      </c>
      <c r="B19" s="386"/>
      <c r="C19" s="387"/>
      <c r="D19" s="386"/>
      <c r="E19" s="387"/>
      <c r="F19" s="379"/>
      <c r="G19" s="379"/>
      <c r="H19" s="379"/>
    </row>
    <row r="20" spans="1:8" ht="15.6" x14ac:dyDescent="0.3">
      <c r="A20" s="356" t="s">
        <v>300</v>
      </c>
      <c r="B20" s="388">
        <f>+'BASE BALANCE'!E178</f>
        <v>11772036080</v>
      </c>
      <c r="C20" s="389"/>
      <c r="D20" s="388">
        <v>53696342685</v>
      </c>
      <c r="E20" s="389"/>
      <c r="F20" s="379"/>
      <c r="G20" s="379"/>
      <c r="H20" s="379"/>
    </row>
    <row r="21" spans="1:8" ht="15.6" x14ac:dyDescent="0.3">
      <c r="A21" s="356" t="s">
        <v>299</v>
      </c>
      <c r="B21" s="388">
        <f>+'BASE BALANCE'!E181</f>
        <v>14619983418</v>
      </c>
      <c r="C21" s="389"/>
      <c r="D21" s="388">
        <v>5696884803</v>
      </c>
      <c r="E21" s="389"/>
      <c r="F21" s="379"/>
      <c r="G21" s="379"/>
      <c r="H21" s="379"/>
    </row>
    <row r="22" spans="1:8" ht="15.6" x14ac:dyDescent="0.3">
      <c r="A22" s="356" t="s">
        <v>301</v>
      </c>
      <c r="B22" s="388">
        <f>+'BASE BALANCE'!E179</f>
        <v>390257822</v>
      </c>
      <c r="C22" s="389"/>
      <c r="D22" s="388">
        <v>84557462</v>
      </c>
      <c r="E22" s="389"/>
      <c r="F22" s="379"/>
      <c r="G22" s="379"/>
      <c r="H22" s="379"/>
    </row>
    <row r="23" spans="1:8" ht="15.6" x14ac:dyDescent="0.3">
      <c r="A23" s="356" t="s">
        <v>302</v>
      </c>
      <c r="B23" s="388">
        <v>0</v>
      </c>
      <c r="C23" s="389"/>
      <c r="D23" s="388">
        <v>0</v>
      </c>
      <c r="E23" s="389"/>
      <c r="F23" s="379"/>
      <c r="G23" s="379"/>
      <c r="H23" s="379"/>
    </row>
    <row r="24" spans="1:8" ht="16.2" thickBot="1" x14ac:dyDescent="0.35">
      <c r="A24" s="390" t="s">
        <v>428</v>
      </c>
      <c r="B24" s="391">
        <f>SUM(B20:B23)</f>
        <v>26782277320</v>
      </c>
      <c r="C24" s="392"/>
      <c r="D24" s="391">
        <f>SUM(D20:D23)</f>
        <v>59477784950</v>
      </c>
      <c r="E24" s="392"/>
      <c r="F24" s="379"/>
      <c r="G24" s="379"/>
      <c r="H24" s="379"/>
    </row>
    <row r="25" spans="1:8" ht="16.2" thickTop="1" x14ac:dyDescent="0.3">
      <c r="A25" s="380"/>
      <c r="B25" s="393"/>
      <c r="C25" s="394"/>
      <c r="D25" s="393"/>
      <c r="E25" s="394"/>
      <c r="F25" s="379"/>
      <c r="G25" s="379"/>
      <c r="H25" s="379"/>
    </row>
    <row r="26" spans="1:8" ht="15.6" x14ac:dyDescent="0.3">
      <c r="A26" s="380"/>
      <c r="B26" s="393"/>
      <c r="C26" s="394"/>
      <c r="D26" s="393"/>
      <c r="E26" s="394"/>
      <c r="F26" s="379"/>
      <c r="G26" s="379"/>
      <c r="H26" s="379"/>
    </row>
    <row r="27" spans="1:8" ht="15.6" x14ac:dyDescent="0.3">
      <c r="A27" s="380"/>
      <c r="B27" s="393"/>
      <c r="C27" s="394"/>
      <c r="D27" s="393"/>
      <c r="E27" s="394"/>
      <c r="F27" s="379"/>
      <c r="G27" s="379"/>
      <c r="H27" s="379"/>
    </row>
    <row r="28" spans="1:8" ht="15.6" x14ac:dyDescent="0.3">
      <c r="A28" s="381" t="s">
        <v>429</v>
      </c>
      <c r="B28" s="393"/>
      <c r="C28" s="394"/>
      <c r="D28" s="393"/>
      <c r="E28" s="394"/>
      <c r="F28" s="379"/>
      <c r="G28" s="379"/>
      <c r="H28" s="379"/>
    </row>
    <row r="29" spans="1:8" ht="15.6" x14ac:dyDescent="0.3">
      <c r="A29" s="381"/>
      <c r="B29" s="383" t="s">
        <v>1534</v>
      </c>
      <c r="C29" s="382"/>
      <c r="D29" s="383" t="s">
        <v>478</v>
      </c>
      <c r="E29" s="382"/>
      <c r="F29" s="379"/>
      <c r="G29" s="379"/>
      <c r="H29" s="379"/>
    </row>
    <row r="30" spans="1:8" ht="15.6" x14ac:dyDescent="0.3">
      <c r="A30" s="395" t="s">
        <v>430</v>
      </c>
      <c r="B30" s="382"/>
      <c r="C30" s="382"/>
      <c r="D30" s="382"/>
      <c r="E30" s="382"/>
      <c r="F30" s="379"/>
      <c r="G30" s="379"/>
      <c r="H30" s="379"/>
    </row>
    <row r="31" spans="1:8" ht="15.6" x14ac:dyDescent="0.3">
      <c r="A31" s="356" t="s">
        <v>300</v>
      </c>
      <c r="B31" s="396">
        <v>40552565405</v>
      </c>
      <c r="C31" s="397"/>
      <c r="D31" s="396">
        <v>53696342685</v>
      </c>
      <c r="E31" s="397"/>
      <c r="F31" s="379"/>
      <c r="G31" s="379"/>
      <c r="H31" s="379"/>
    </row>
    <row r="32" spans="1:8" ht="15.6" x14ac:dyDescent="0.3">
      <c r="A32" s="356" t="s">
        <v>299</v>
      </c>
      <c r="B32" s="396">
        <v>21554755159</v>
      </c>
      <c r="C32" s="397"/>
      <c r="D32" s="396">
        <v>5696884803</v>
      </c>
      <c r="E32" s="397"/>
      <c r="F32" s="379"/>
      <c r="G32" s="379"/>
      <c r="H32" s="379"/>
    </row>
    <row r="33" spans="1:8" ht="15.6" x14ac:dyDescent="0.3">
      <c r="A33" s="380"/>
      <c r="B33" s="569"/>
      <c r="C33" s="380"/>
      <c r="D33" s="380"/>
      <c r="E33" s="380"/>
      <c r="F33" s="379"/>
      <c r="G33" s="379"/>
      <c r="H33" s="379"/>
    </row>
    <row r="34" spans="1:8" ht="15.6" x14ac:dyDescent="0.3">
      <c r="A34" s="395" t="s">
        <v>431</v>
      </c>
      <c r="B34" s="382"/>
      <c r="C34" s="382"/>
      <c r="D34" s="382"/>
      <c r="E34" s="382"/>
      <c r="F34" s="379"/>
      <c r="G34" s="379"/>
      <c r="H34" s="379"/>
    </row>
    <row r="35" spans="1:8" ht="15.6" x14ac:dyDescent="0.3">
      <c r="A35" s="356" t="s">
        <v>302</v>
      </c>
      <c r="B35" s="398">
        <v>9130932928</v>
      </c>
      <c r="C35" s="399"/>
      <c r="D35" s="398">
        <v>5576499244</v>
      </c>
      <c r="E35" s="399"/>
      <c r="F35" s="379"/>
      <c r="G35" s="379"/>
      <c r="H35" s="379"/>
    </row>
    <row r="36" spans="1:8" x14ac:dyDescent="0.3">
      <c r="A36" s="356" t="s">
        <v>870</v>
      </c>
      <c r="B36" s="396">
        <v>9212372317</v>
      </c>
      <c r="C36" s="399"/>
      <c r="D36" s="398">
        <v>0</v>
      </c>
      <c r="E36" s="399"/>
      <c r="F36" s="398"/>
      <c r="G36" s="399"/>
      <c r="H36" s="398"/>
    </row>
    <row r="37" spans="1:8" x14ac:dyDescent="0.3">
      <c r="A37" s="401"/>
      <c r="B37" s="398"/>
      <c r="C37" s="399"/>
      <c r="D37" s="398"/>
      <c r="E37" s="399"/>
      <c r="F37" s="398"/>
      <c r="G37" s="399"/>
      <c r="H37" s="398"/>
    </row>
    <row r="38" spans="1:8" x14ac:dyDescent="0.3">
      <c r="A38" s="400"/>
      <c r="B38" s="398"/>
      <c r="C38" s="399"/>
      <c r="D38" s="398"/>
      <c r="E38" s="399"/>
      <c r="F38" s="398"/>
      <c r="G38" s="399"/>
      <c r="H38" s="398"/>
    </row>
    <row r="39" spans="1:8" x14ac:dyDescent="0.3">
      <c r="A39" s="400"/>
      <c r="B39" s="398"/>
      <c r="C39" s="399"/>
      <c r="D39" s="398"/>
      <c r="E39" s="399"/>
      <c r="F39" s="398"/>
      <c r="G39" s="399"/>
      <c r="H39" s="398"/>
    </row>
    <row r="40" spans="1:8" x14ac:dyDescent="0.3">
      <c r="A40" s="639" t="s">
        <v>432</v>
      </c>
      <c r="B40" s="639"/>
      <c r="C40" s="639"/>
      <c r="D40" s="639"/>
      <c r="E40" s="639"/>
      <c r="F40" s="639"/>
      <c r="G40" s="639"/>
      <c r="H40" s="639"/>
    </row>
    <row r="41" spans="1:8" x14ac:dyDescent="0.3">
      <c r="A41" s="639"/>
      <c r="B41" s="639"/>
      <c r="C41" s="639"/>
      <c r="D41" s="639"/>
      <c r="E41" s="639"/>
      <c r="F41" s="639"/>
      <c r="G41" s="639"/>
      <c r="H41" s="639"/>
    </row>
    <row r="42" spans="1:8" x14ac:dyDescent="0.3">
      <c r="A42" s="639"/>
      <c r="B42" s="639"/>
      <c r="C42" s="639"/>
      <c r="D42" s="639"/>
      <c r="E42" s="639"/>
      <c r="F42" s="639"/>
      <c r="G42" s="639"/>
      <c r="H42" s="639"/>
    </row>
    <row r="43" spans="1:8" x14ac:dyDescent="0.3">
      <c r="A43" s="639"/>
      <c r="B43" s="639"/>
      <c r="C43" s="639"/>
      <c r="D43" s="639"/>
      <c r="E43" s="639"/>
      <c r="F43" s="639"/>
      <c r="G43" s="639"/>
      <c r="H43" s="639"/>
    </row>
    <row r="44" spans="1:8" x14ac:dyDescent="0.3">
      <c r="A44" s="639"/>
      <c r="B44" s="639"/>
      <c r="C44" s="639"/>
      <c r="D44" s="639"/>
      <c r="E44" s="639"/>
      <c r="F44" s="639"/>
      <c r="G44" s="639"/>
      <c r="H44" s="639"/>
    </row>
    <row r="45" spans="1:8" x14ac:dyDescent="0.3">
      <c r="A45" s="639"/>
      <c r="B45" s="639"/>
      <c r="C45" s="639"/>
      <c r="D45" s="639"/>
      <c r="E45" s="639"/>
      <c r="F45" s="639"/>
      <c r="G45" s="639"/>
      <c r="H45" s="639"/>
    </row>
    <row r="46" spans="1:8" x14ac:dyDescent="0.3">
      <c r="A46" s="380"/>
      <c r="B46" s="380"/>
      <c r="C46" s="380"/>
      <c r="D46" s="380"/>
      <c r="E46" s="380"/>
      <c r="F46" s="398"/>
      <c r="G46" s="398"/>
      <c r="H46" s="398"/>
    </row>
    <row r="47" spans="1:8" x14ac:dyDescent="0.3">
      <c r="A47" s="380"/>
      <c r="B47" s="380"/>
      <c r="C47" s="380"/>
      <c r="D47" s="380"/>
      <c r="E47" s="380"/>
      <c r="F47" s="398"/>
      <c r="G47" s="398"/>
      <c r="H47" s="398"/>
    </row>
    <row r="48" spans="1:8" x14ac:dyDescent="0.3">
      <c r="A48" s="381"/>
      <c r="B48" s="383" t="s">
        <v>1534</v>
      </c>
      <c r="C48" s="382"/>
      <c r="D48" s="383" t="s">
        <v>478</v>
      </c>
      <c r="E48" s="382"/>
      <c r="F48" s="398"/>
      <c r="G48" s="398"/>
      <c r="H48" s="398"/>
    </row>
    <row r="49" spans="1:8" x14ac:dyDescent="0.3">
      <c r="A49" s="381" t="s">
        <v>433</v>
      </c>
      <c r="B49" s="386"/>
      <c r="C49" s="387"/>
      <c r="D49" s="386"/>
      <c r="E49" s="387"/>
      <c r="F49" s="398"/>
      <c r="G49" s="398"/>
      <c r="H49" s="398"/>
    </row>
    <row r="50" spans="1:8" x14ac:dyDescent="0.3">
      <c r="A50" s="356" t="s">
        <v>379</v>
      </c>
      <c r="B50" s="388">
        <v>549545463</v>
      </c>
      <c r="C50" s="389"/>
      <c r="D50" s="388">
        <v>776818190</v>
      </c>
      <c r="E50" s="389"/>
      <c r="F50" s="398"/>
      <c r="G50" s="398"/>
      <c r="H50" s="398"/>
    </row>
    <row r="51" spans="1:8" ht="15" thickBot="1" x14ac:dyDescent="0.35">
      <c r="A51" s="390" t="s">
        <v>246</v>
      </c>
      <c r="B51" s="391">
        <f>SUM(B50)</f>
        <v>549545463</v>
      </c>
      <c r="C51" s="392"/>
      <c r="D51" s="391">
        <f>SUM(D50)</f>
        <v>776818190</v>
      </c>
      <c r="E51" s="392"/>
      <c r="F51" s="398"/>
      <c r="G51" s="398"/>
      <c r="H51" s="398"/>
    </row>
    <row r="52" spans="1:8" ht="15" thickTop="1" x14ac:dyDescent="0.3">
      <c r="A52" s="380"/>
      <c r="B52" s="380"/>
      <c r="C52" s="380"/>
      <c r="D52" s="380"/>
      <c r="E52" s="380"/>
      <c r="F52" s="380"/>
      <c r="G52" s="380"/>
      <c r="H52" s="380"/>
    </row>
    <row r="54" spans="1:8" x14ac:dyDescent="0.3">
      <c r="B54" s="518"/>
    </row>
  </sheetData>
  <mergeCells count="2">
    <mergeCell ref="A2:D2"/>
    <mergeCell ref="A40:H45"/>
  </mergeCells>
  <hyperlinks>
    <hyperlink ref="F1" location="ER!C32" display="ER" xr:uid="{0AE29622-93E4-4E3C-A2D5-0BA8F5781DEB}"/>
    <hyperlink ref="E1" location="Indice!D43" display="Indice" xr:uid="{B1C8C453-8E8C-46E7-87E6-98BC09EB8609}"/>
  </hyperlinks>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A7F4B2-A315-544A-87CD-23C2C50C5268}">
  <sheetPr>
    <tabColor theme="4" tint="0.39997558519241921"/>
  </sheetPr>
  <dimension ref="A1:K102"/>
  <sheetViews>
    <sheetView showGridLines="0" workbookViewId="0">
      <selection activeCell="E15" sqref="E15"/>
    </sheetView>
  </sheetViews>
  <sheetFormatPr baseColWidth="10" defaultColWidth="10.8984375" defaultRowHeight="14.4" x14ac:dyDescent="0.3"/>
  <cols>
    <col min="1" max="1" width="26.09765625" style="166" customWidth="1"/>
    <col min="2" max="2" width="14.5" style="166" customWidth="1"/>
    <col min="3" max="3" width="15.09765625" style="166" customWidth="1"/>
    <col min="4" max="5" width="14.5" style="166" customWidth="1"/>
    <col min="6" max="6" width="15.59765625" style="166" bestFit="1" customWidth="1"/>
    <col min="7" max="7" width="14.5" style="166" customWidth="1"/>
    <col min="8" max="8" width="16.5" style="166" bestFit="1" customWidth="1"/>
    <col min="9" max="16384" width="10.8984375" style="166"/>
  </cols>
  <sheetData>
    <row r="1" spans="1:11" ht="15.6" x14ac:dyDescent="0.3">
      <c r="A1" s="642" t="s">
        <v>201</v>
      </c>
      <c r="B1" s="642"/>
      <c r="C1" s="642"/>
      <c r="D1" s="642"/>
      <c r="E1" s="642"/>
      <c r="F1" s="642"/>
      <c r="G1" s="642"/>
      <c r="H1" s="642"/>
      <c r="I1" s="319" t="s">
        <v>118</v>
      </c>
    </row>
    <row r="2" spans="1:11" x14ac:dyDescent="0.3">
      <c r="A2" s="643" t="s">
        <v>1547</v>
      </c>
      <c r="B2" s="643"/>
      <c r="C2" s="643"/>
      <c r="D2" s="643"/>
      <c r="E2" s="643"/>
      <c r="F2" s="643"/>
      <c r="G2" s="643"/>
      <c r="H2" s="643"/>
    </row>
    <row r="4" spans="1:11" ht="14.1" customHeight="1" x14ac:dyDescent="0.3">
      <c r="A4" s="624" t="s">
        <v>1560</v>
      </c>
      <c r="B4" s="624"/>
      <c r="C4" s="624"/>
      <c r="D4" s="624"/>
      <c r="E4" s="624"/>
      <c r="F4" s="624"/>
      <c r="G4" s="624"/>
      <c r="H4" s="624"/>
    </row>
    <row r="5" spans="1:11" ht="26.1" customHeight="1" x14ac:dyDescent="0.3">
      <c r="A5" s="624"/>
      <c r="B5" s="624"/>
      <c r="C5" s="624"/>
      <c r="D5" s="624"/>
      <c r="E5" s="624"/>
      <c r="F5" s="624"/>
      <c r="G5" s="624"/>
      <c r="H5" s="624"/>
    </row>
    <row r="6" spans="1:11" ht="17.399999999999999" x14ac:dyDescent="0.3">
      <c r="A6" s="99" t="s">
        <v>202</v>
      </c>
      <c r="B6" s="275"/>
      <c r="C6" s="275"/>
      <c r="D6" s="275"/>
      <c r="E6" s="275"/>
      <c r="F6" s="275"/>
      <c r="G6" s="275"/>
      <c r="H6" s="275"/>
    </row>
    <row r="7" spans="1:11" ht="17.399999999999999" x14ac:dyDescent="0.3">
      <c r="A7" s="99"/>
      <c r="B7" s="275"/>
      <c r="C7" s="275"/>
      <c r="D7" s="275"/>
      <c r="E7" s="275"/>
      <c r="F7" s="275"/>
      <c r="G7" s="275"/>
      <c r="H7" s="275"/>
    </row>
    <row r="8" spans="1:11" ht="24.9" customHeight="1" x14ac:dyDescent="0.3">
      <c r="A8" s="275"/>
      <c r="B8" s="644" t="s">
        <v>228</v>
      </c>
      <c r="C8" s="646" t="s">
        <v>434</v>
      </c>
      <c r="D8" s="646" t="s">
        <v>435</v>
      </c>
      <c r="E8" s="646" t="s">
        <v>436</v>
      </c>
      <c r="F8" s="646" t="s">
        <v>437</v>
      </c>
      <c r="G8" s="646" t="s">
        <v>91</v>
      </c>
      <c r="H8" s="644" t="s">
        <v>438</v>
      </c>
    </row>
    <row r="9" spans="1:11" ht="24.9" customHeight="1" thickBot="1" x14ac:dyDescent="0.35">
      <c r="A9" s="275"/>
      <c r="B9" s="645"/>
      <c r="C9" s="647"/>
      <c r="D9" s="647"/>
      <c r="E9" s="647"/>
      <c r="F9" s="647"/>
      <c r="G9" s="647"/>
      <c r="H9" s="645"/>
    </row>
    <row r="10" spans="1:11" s="154" customFormat="1" ht="15" thickBot="1" x14ac:dyDescent="0.35">
      <c r="A10" s="276" t="s">
        <v>442</v>
      </c>
      <c r="B10" s="277">
        <v>192173016224</v>
      </c>
      <c r="C10" s="277">
        <v>0</v>
      </c>
      <c r="D10" s="277">
        <v>0</v>
      </c>
      <c r="E10" s="277">
        <v>11423641075</v>
      </c>
      <c r="F10" s="277">
        <v>2720132014</v>
      </c>
      <c r="G10" s="277">
        <v>17763825535</v>
      </c>
      <c r="H10" s="277">
        <v>224080614848</v>
      </c>
    </row>
    <row r="11" spans="1:11" s="154" customFormat="1" ht="17.100000000000001" customHeight="1" thickTop="1" x14ac:dyDescent="0.3">
      <c r="A11" s="278" t="s">
        <v>439</v>
      </c>
      <c r="B11" s="279">
        <v>0</v>
      </c>
      <c r="C11" s="279">
        <v>0</v>
      </c>
      <c r="D11" s="279">
        <v>0</v>
      </c>
      <c r="E11" s="279">
        <v>0</v>
      </c>
      <c r="F11" s="279">
        <v>0</v>
      </c>
      <c r="G11" s="279">
        <v>0</v>
      </c>
      <c r="H11" s="279">
        <v>0</v>
      </c>
    </row>
    <row r="12" spans="1:11" s="154" customFormat="1" ht="17.100000000000001" customHeight="1" x14ac:dyDescent="0.3">
      <c r="A12" s="278" t="s">
        <v>440</v>
      </c>
      <c r="B12" s="279">
        <v>0</v>
      </c>
      <c r="C12" s="279">
        <v>0</v>
      </c>
      <c r="D12" s="279">
        <v>0</v>
      </c>
      <c r="E12" s="279">
        <v>0</v>
      </c>
      <c r="F12" s="279">
        <v>0</v>
      </c>
      <c r="G12" s="279">
        <v>0</v>
      </c>
      <c r="H12" s="279">
        <v>0</v>
      </c>
    </row>
    <row r="13" spans="1:11" s="154" customFormat="1" ht="17.100000000000001" customHeight="1" x14ac:dyDescent="0.3">
      <c r="A13" s="278" t="s">
        <v>88</v>
      </c>
      <c r="B13" s="279">
        <v>0</v>
      </c>
      <c r="C13" s="279">
        <v>0</v>
      </c>
      <c r="D13" s="279">
        <v>0</v>
      </c>
      <c r="E13" s="279">
        <v>0</v>
      </c>
      <c r="F13" s="279">
        <v>0</v>
      </c>
      <c r="G13" s="279">
        <f>-F13</f>
        <v>0</v>
      </c>
      <c r="H13" s="279">
        <v>0</v>
      </c>
    </row>
    <row r="14" spans="1:11" s="154" customFormat="1" ht="17.100000000000001" customHeight="1" x14ac:dyDescent="0.3">
      <c r="A14" s="278" t="s">
        <v>441</v>
      </c>
      <c r="B14" s="279">
        <v>0</v>
      </c>
      <c r="C14" s="279">
        <v>0</v>
      </c>
      <c r="D14" s="279">
        <v>0</v>
      </c>
      <c r="E14" s="279">
        <v>0</v>
      </c>
      <c r="F14" s="279">
        <v>0</v>
      </c>
      <c r="G14" s="279">
        <v>0</v>
      </c>
      <c r="H14" s="279">
        <v>0</v>
      </c>
    </row>
    <row r="15" spans="1:11" x14ac:dyDescent="0.3">
      <c r="A15" s="278" t="s">
        <v>231</v>
      </c>
      <c r="B15" s="279">
        <v>0</v>
      </c>
      <c r="C15" s="279">
        <v>0</v>
      </c>
      <c r="D15" s="279">
        <v>0</v>
      </c>
      <c r="E15" s="279">
        <v>0</v>
      </c>
      <c r="F15" s="279">
        <v>0</v>
      </c>
      <c r="G15" s="279">
        <v>5718707597</v>
      </c>
      <c r="H15" s="279">
        <f>SUM(B15:G15)</f>
        <v>5718707597</v>
      </c>
      <c r="K15" s="176"/>
    </row>
    <row r="16" spans="1:11" ht="15" thickBot="1" x14ac:dyDescent="0.35">
      <c r="A16" s="276" t="s">
        <v>517</v>
      </c>
      <c r="B16" s="277">
        <f t="shared" ref="B16:G16" si="0">SUM(B10:B15)</f>
        <v>192173016224</v>
      </c>
      <c r="C16" s="277">
        <f t="shared" si="0"/>
        <v>0</v>
      </c>
      <c r="D16" s="277">
        <f t="shared" si="0"/>
        <v>0</v>
      </c>
      <c r="E16" s="277">
        <f t="shared" si="0"/>
        <v>11423641075</v>
      </c>
      <c r="F16" s="277">
        <f t="shared" si="0"/>
        <v>2720132014</v>
      </c>
      <c r="G16" s="277">
        <f t="shared" si="0"/>
        <v>23482533132</v>
      </c>
      <c r="H16" s="277">
        <f>SUM(H10:H15)</f>
        <v>229799322445</v>
      </c>
    </row>
    <row r="17" spans="1:8" ht="15" thickTop="1" x14ac:dyDescent="0.3">
      <c r="A17" s="278" t="s">
        <v>439</v>
      </c>
      <c r="B17" s="279">
        <v>0</v>
      </c>
      <c r="C17" s="279">
        <v>0</v>
      </c>
      <c r="D17" s="279">
        <v>0</v>
      </c>
      <c r="E17" s="279">
        <v>0</v>
      </c>
      <c r="F17" s="279">
        <v>0</v>
      </c>
      <c r="G17" s="279">
        <v>0</v>
      </c>
      <c r="H17" s="279">
        <f>SUM(B17:G17)</f>
        <v>0</v>
      </c>
    </row>
    <row r="18" spans="1:8" x14ac:dyDescent="0.3">
      <c r="A18" s="278" t="s">
        <v>440</v>
      </c>
      <c r="B18" s="280">
        <v>0</v>
      </c>
      <c r="C18" s="158">
        <v>0</v>
      </c>
      <c r="D18" s="279">
        <v>0</v>
      </c>
      <c r="E18" s="279">
        <v>0</v>
      </c>
      <c r="F18" s="279">
        <v>0</v>
      </c>
      <c r="G18" s="279">
        <v>0</v>
      </c>
      <c r="H18" s="279">
        <f t="shared" ref="H18:H21" si="1">SUM(B18:G18)</f>
        <v>0</v>
      </c>
    </row>
    <row r="19" spans="1:8" x14ac:dyDescent="0.3">
      <c r="A19" s="278" t="s">
        <v>88</v>
      </c>
      <c r="B19" s="279">
        <v>0</v>
      </c>
      <c r="C19" s="158">
        <v>0</v>
      </c>
      <c r="D19" s="279">
        <v>0</v>
      </c>
      <c r="E19" s="279">
        <v>0</v>
      </c>
      <c r="F19" s="279">
        <v>0</v>
      </c>
      <c r="G19" s="279">
        <f>-F19</f>
        <v>0</v>
      </c>
      <c r="H19" s="279">
        <f t="shared" si="1"/>
        <v>0</v>
      </c>
    </row>
    <row r="20" spans="1:8" x14ac:dyDescent="0.3">
      <c r="A20" s="278" t="s">
        <v>91</v>
      </c>
      <c r="B20" s="279">
        <v>0</v>
      </c>
      <c r="C20" s="158">
        <v>0</v>
      </c>
      <c r="D20" s="279">
        <v>0</v>
      </c>
      <c r="E20" s="279">
        <v>0</v>
      </c>
      <c r="F20" s="279">
        <v>0</v>
      </c>
      <c r="G20" s="279">
        <v>0</v>
      </c>
      <c r="H20" s="279">
        <f t="shared" si="1"/>
        <v>0</v>
      </c>
    </row>
    <row r="21" spans="1:8" x14ac:dyDescent="0.3">
      <c r="A21" s="278" t="s">
        <v>231</v>
      </c>
      <c r="B21" s="279">
        <v>0</v>
      </c>
      <c r="C21" s="279">
        <v>0</v>
      </c>
      <c r="D21" s="279">
        <v>0</v>
      </c>
      <c r="E21" s="279">
        <v>0</v>
      </c>
      <c r="F21" s="279">
        <v>0</v>
      </c>
      <c r="G21" s="279">
        <f>+BG!D46</f>
        <v>3122197277.4000001</v>
      </c>
      <c r="H21" s="279">
        <f t="shared" si="1"/>
        <v>3122197277.4000001</v>
      </c>
    </row>
    <row r="22" spans="1:8" ht="15" thickBot="1" x14ac:dyDescent="0.35">
      <c r="A22" s="276" t="s">
        <v>1562</v>
      </c>
      <c r="B22" s="277">
        <f>SUM(B16:B21)</f>
        <v>192173016224</v>
      </c>
      <c r="C22" s="277">
        <f t="shared" ref="C22:G22" si="2">SUM(C16:C21)</f>
        <v>0</v>
      </c>
      <c r="D22" s="277">
        <f t="shared" si="2"/>
        <v>0</v>
      </c>
      <c r="E22" s="277">
        <f t="shared" si="2"/>
        <v>11423641075</v>
      </c>
      <c r="F22" s="277">
        <f t="shared" si="2"/>
        <v>2720132014</v>
      </c>
      <c r="G22" s="277">
        <f t="shared" si="2"/>
        <v>26604730409.400002</v>
      </c>
      <c r="H22" s="277">
        <f>SUM(H16:H21)</f>
        <v>232921519722.39999</v>
      </c>
    </row>
    <row r="23" spans="1:8" ht="15" thickTop="1" x14ac:dyDescent="0.3">
      <c r="A23" s="276"/>
      <c r="B23" s="281"/>
      <c r="C23" s="281"/>
      <c r="D23" s="281"/>
      <c r="E23" s="281"/>
      <c r="F23" s="281"/>
      <c r="G23" s="281"/>
      <c r="H23" s="281"/>
    </row>
    <row r="24" spans="1:8" x14ac:dyDescent="0.3">
      <c r="A24" s="276"/>
      <c r="B24" s="281"/>
      <c r="C24" s="281"/>
      <c r="D24" s="281"/>
      <c r="E24" s="281"/>
      <c r="F24" s="282"/>
      <c r="G24" s="281"/>
      <c r="H24" s="281"/>
    </row>
    <row r="25" spans="1:8" ht="15.6" x14ac:dyDescent="0.3">
      <c r="A25" s="283" t="s">
        <v>322</v>
      </c>
      <c r="B25" s="284">
        <f>+B22-BG!D40</f>
        <v>0</v>
      </c>
      <c r="C25" s="284">
        <v>0</v>
      </c>
      <c r="D25" s="284">
        <v>0</v>
      </c>
      <c r="E25" s="284">
        <f>+E22-BG!D43</f>
        <v>0</v>
      </c>
      <c r="F25" s="284">
        <f>+F22-BG!D44</f>
        <v>0</v>
      </c>
      <c r="G25" s="285">
        <f>+G16-BG!D45</f>
        <v>0</v>
      </c>
      <c r="H25" s="284">
        <f>+H22-BG!D47</f>
        <v>0</v>
      </c>
    </row>
    <row r="26" spans="1:8" ht="24" customHeight="1" x14ac:dyDescent="0.3">
      <c r="A26" s="123"/>
      <c r="B26" s="281"/>
      <c r="C26" s="281"/>
      <c r="D26" s="281"/>
      <c r="E26" s="281"/>
      <c r="F26" s="281"/>
      <c r="G26" s="281"/>
      <c r="H26" s="281"/>
    </row>
    <row r="27" spans="1:8" ht="24" customHeight="1" x14ac:dyDescent="0.3">
      <c r="A27" s="123"/>
      <c r="B27" s="281"/>
      <c r="C27" s="281"/>
      <c r="D27" s="281"/>
      <c r="E27" s="281"/>
      <c r="F27" s="281"/>
      <c r="G27" s="281">
        <f>+G21-ER!C39</f>
        <v>0.40000009536743164</v>
      </c>
      <c r="H27" s="281"/>
    </row>
    <row r="28" spans="1:8" hidden="1" x14ac:dyDescent="0.3">
      <c r="A28" s="640" t="s">
        <v>443</v>
      </c>
      <c r="B28" s="640"/>
      <c r="C28" s="640"/>
      <c r="D28" s="640"/>
      <c r="E28" s="640"/>
      <c r="F28" s="640"/>
    </row>
    <row r="29" spans="1:8" hidden="1" x14ac:dyDescent="0.3">
      <c r="A29" s="640"/>
      <c r="B29" s="640"/>
      <c r="C29" s="640"/>
      <c r="D29" s="640"/>
      <c r="E29" s="640"/>
      <c r="F29" s="640"/>
    </row>
    <row r="30" spans="1:8" s="154" customFormat="1" x14ac:dyDescent="0.3">
      <c r="A30" s="214"/>
      <c r="B30" s="214"/>
      <c r="C30" s="214"/>
      <c r="D30" s="214"/>
      <c r="E30" s="214"/>
      <c r="F30" s="214"/>
      <c r="G30" s="166"/>
      <c r="H30" s="166"/>
    </row>
    <row r="31" spans="1:8" s="154" customFormat="1" x14ac:dyDescent="0.3">
      <c r="A31" s="641" t="s">
        <v>1561</v>
      </c>
      <c r="B31" s="641"/>
      <c r="C31" s="641"/>
      <c r="D31" s="641"/>
      <c r="E31" s="641"/>
      <c r="F31" s="641"/>
      <c r="G31" s="166"/>
      <c r="H31" s="166"/>
    </row>
    <row r="32" spans="1:8" s="154" customFormat="1" x14ac:dyDescent="0.3">
      <c r="A32" s="641"/>
      <c r="B32" s="641"/>
      <c r="C32" s="641"/>
      <c r="D32" s="641"/>
      <c r="E32" s="641"/>
      <c r="F32" s="641"/>
      <c r="G32" s="166"/>
      <c r="H32" s="166"/>
    </row>
    <row r="33" spans="1:6" x14ac:dyDescent="0.3">
      <c r="A33" s="641"/>
      <c r="B33" s="641"/>
      <c r="C33" s="641"/>
      <c r="D33" s="641"/>
      <c r="E33" s="641"/>
      <c r="F33" s="641"/>
    </row>
    <row r="34" spans="1:6" x14ac:dyDescent="0.3">
      <c r="A34" s="641"/>
      <c r="B34" s="641"/>
      <c r="C34" s="641"/>
      <c r="D34" s="641"/>
      <c r="E34" s="641"/>
      <c r="F34" s="641"/>
    </row>
    <row r="35" spans="1:6" ht="24" customHeight="1" x14ac:dyDescent="0.3">
      <c r="A35" s="641"/>
      <c r="B35" s="641"/>
      <c r="C35" s="641"/>
      <c r="D35" s="641"/>
      <c r="E35" s="641"/>
      <c r="F35" s="641"/>
    </row>
    <row r="36" spans="1:6" x14ac:dyDescent="0.3">
      <c r="A36" s="214"/>
      <c r="B36" s="214"/>
      <c r="C36" s="214"/>
      <c r="D36" s="214"/>
      <c r="E36" s="214"/>
      <c r="F36" s="214"/>
    </row>
    <row r="37" spans="1:6" hidden="1" x14ac:dyDescent="0.3">
      <c r="A37" s="214" t="s">
        <v>526</v>
      </c>
      <c r="B37" s="214"/>
      <c r="C37" s="214"/>
      <c r="D37" s="214"/>
      <c r="E37" s="214"/>
      <c r="F37" s="214"/>
    </row>
    <row r="96" spans="8:8" x14ac:dyDescent="0.3">
      <c r="H96" s="145" t="s">
        <v>444</v>
      </c>
    </row>
    <row r="97" spans="8:8" x14ac:dyDescent="0.3">
      <c r="H97" s="145" t="s">
        <v>445</v>
      </c>
    </row>
    <row r="98" spans="8:8" x14ac:dyDescent="0.3">
      <c r="H98" s="145" t="s">
        <v>445</v>
      </c>
    </row>
    <row r="99" spans="8:8" x14ac:dyDescent="0.3">
      <c r="H99" s="145" t="s">
        <v>445</v>
      </c>
    </row>
    <row r="100" spans="8:8" x14ac:dyDescent="0.3">
      <c r="H100" s="145" t="s">
        <v>445</v>
      </c>
    </row>
    <row r="101" spans="8:8" x14ac:dyDescent="0.3">
      <c r="H101" s="145" t="s">
        <v>445</v>
      </c>
    </row>
    <row r="102" spans="8:8" x14ac:dyDescent="0.3">
      <c r="H102" s="145" t="s">
        <v>445</v>
      </c>
    </row>
  </sheetData>
  <mergeCells count="12">
    <mergeCell ref="A28:F29"/>
    <mergeCell ref="A31:F35"/>
    <mergeCell ref="A1:H1"/>
    <mergeCell ref="A2:H2"/>
    <mergeCell ref="A4:H5"/>
    <mergeCell ref="B8:B9"/>
    <mergeCell ref="C8:C9"/>
    <mergeCell ref="D8:D9"/>
    <mergeCell ref="E8:E9"/>
    <mergeCell ref="F8:F9"/>
    <mergeCell ref="G8:G9"/>
    <mergeCell ref="H8:H9"/>
  </mergeCells>
  <hyperlinks>
    <hyperlink ref="I1" location="Indice!D44" display="Indice" xr:uid="{3FE61C8E-49C3-F344-9383-C60DC26C39FA}"/>
  </hyperlink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B4EBB2-025E-B842-8459-296174FB2DB5}">
  <sheetPr>
    <tabColor theme="4" tint="0.39997558519241921"/>
  </sheetPr>
  <dimension ref="A1:H1192"/>
  <sheetViews>
    <sheetView showGridLines="0" topLeftCell="A25" workbookViewId="0">
      <selection activeCell="E45" sqref="E45"/>
    </sheetView>
  </sheetViews>
  <sheetFormatPr baseColWidth="10" defaultColWidth="10.8984375" defaultRowHeight="14.4" x14ac:dyDescent="0.3"/>
  <cols>
    <col min="1" max="1" width="2.5" style="287" bestFit="1" customWidth="1"/>
    <col min="2" max="2" width="51.5" style="287" customWidth="1"/>
    <col min="3" max="3" width="20.5" style="166" customWidth="1"/>
    <col min="4" max="4" width="4" style="287" customWidth="1"/>
    <col min="5" max="5" width="20.5" style="166" customWidth="1"/>
    <col min="6" max="6" width="13" style="286" bestFit="1" customWidth="1"/>
    <col min="7" max="7" width="13.19921875" style="166" bestFit="1" customWidth="1"/>
    <col min="8" max="8" width="13.8984375" style="166" bestFit="1" customWidth="1"/>
    <col min="9" max="16384" width="10.8984375" style="166"/>
  </cols>
  <sheetData>
    <row r="1" spans="1:7" ht="15.6" x14ac:dyDescent="0.3">
      <c r="A1" s="648" t="s">
        <v>201</v>
      </c>
      <c r="B1" s="648"/>
      <c r="C1" s="648"/>
      <c r="D1" s="648"/>
      <c r="E1" s="648"/>
      <c r="G1" s="319" t="s">
        <v>118</v>
      </c>
    </row>
    <row r="2" spans="1:7" x14ac:dyDescent="0.3">
      <c r="A2" s="643" t="s">
        <v>1557</v>
      </c>
      <c r="B2" s="643"/>
      <c r="C2" s="643"/>
      <c r="D2" s="643"/>
      <c r="E2" s="643"/>
    </row>
    <row r="3" spans="1:7" x14ac:dyDescent="0.3">
      <c r="B3" s="166"/>
      <c r="D3" s="166"/>
    </row>
    <row r="4" spans="1:7" x14ac:dyDescent="0.3">
      <c r="B4" s="288"/>
      <c r="D4" s="288"/>
    </row>
    <row r="5" spans="1:7" ht="20.399999999999999" x14ac:dyDescent="0.3">
      <c r="A5" s="649" t="s">
        <v>1558</v>
      </c>
      <c r="B5" s="649"/>
      <c r="C5" s="649"/>
      <c r="D5" s="649"/>
      <c r="E5" s="649"/>
    </row>
    <row r="6" spans="1:7" x14ac:dyDescent="0.3">
      <c r="B6" s="289"/>
      <c r="D6" s="289"/>
    </row>
    <row r="7" spans="1:7" ht="17.399999999999999" x14ac:dyDescent="0.3">
      <c r="A7" s="99" t="s">
        <v>202</v>
      </c>
      <c r="B7" s="289"/>
      <c r="C7" s="290"/>
      <c r="D7" s="289"/>
      <c r="E7" s="290"/>
    </row>
    <row r="8" spans="1:7" x14ac:dyDescent="0.3">
      <c r="B8" s="289"/>
      <c r="D8" s="289"/>
    </row>
    <row r="9" spans="1:7" x14ac:dyDescent="0.3">
      <c r="B9" s="291"/>
      <c r="C9" s="218" t="s">
        <v>1534</v>
      </c>
      <c r="D9" s="291"/>
      <c r="E9" s="218" t="s">
        <v>478</v>
      </c>
    </row>
    <row r="10" spans="1:7" x14ac:dyDescent="0.3">
      <c r="A10" s="292" t="s">
        <v>446</v>
      </c>
      <c r="B10" s="293" t="s">
        <v>447</v>
      </c>
      <c r="D10" s="293"/>
    </row>
    <row r="11" spans="1:7" x14ac:dyDescent="0.3">
      <c r="A11" s="294"/>
      <c r="B11" s="293"/>
      <c r="D11" s="293"/>
    </row>
    <row r="12" spans="1:7" x14ac:dyDescent="0.3">
      <c r="A12" s="294"/>
      <c r="B12" s="295" t="s">
        <v>448</v>
      </c>
      <c r="C12" s="296">
        <f>+'calculo flujo de caja'!P46</f>
        <v>147625145791</v>
      </c>
      <c r="D12" s="295"/>
      <c r="E12" s="296">
        <v>213998445255</v>
      </c>
    </row>
    <row r="13" spans="1:7" x14ac:dyDescent="0.3">
      <c r="A13" s="294"/>
      <c r="B13" s="295" t="s">
        <v>449</v>
      </c>
      <c r="C13" s="297">
        <f>+'calculo flujo de caja'!Q46+'calculo flujo de caja'!S46+'calculo flujo de caja'!W46</f>
        <v>-147711165019.40002</v>
      </c>
      <c r="D13" s="295"/>
      <c r="E13" s="297">
        <v>-227007743007.26791</v>
      </c>
      <c r="F13" s="298"/>
    </row>
    <row r="14" spans="1:7" x14ac:dyDescent="0.3">
      <c r="A14" s="294"/>
      <c r="B14" s="295" t="s">
        <v>450</v>
      </c>
      <c r="C14" s="296">
        <f>+C12+C13</f>
        <v>-86019228.400024414</v>
      </c>
      <c r="D14" s="295"/>
      <c r="E14" s="296">
        <f>+E12+E13</f>
        <v>-13009297752.267914</v>
      </c>
    </row>
    <row r="15" spans="1:7" x14ac:dyDescent="0.3">
      <c r="A15" s="294"/>
      <c r="B15" s="295" t="s">
        <v>109</v>
      </c>
      <c r="C15" s="296">
        <v>0</v>
      </c>
      <c r="D15" s="295"/>
      <c r="E15" s="296">
        <v>-2882718020</v>
      </c>
    </row>
    <row r="16" spans="1:7" x14ac:dyDescent="0.3">
      <c r="A16" s="294"/>
      <c r="B16" s="299" t="s">
        <v>451</v>
      </c>
      <c r="C16" s="300">
        <f>+C15+C14</f>
        <v>-86019228.400024414</v>
      </c>
      <c r="D16" s="299"/>
      <c r="E16" s="300">
        <f>+E15+E14</f>
        <v>-15892015772.267914</v>
      </c>
    </row>
    <row r="17" spans="1:7" x14ac:dyDescent="0.3">
      <c r="B17" s="301"/>
      <c r="C17" s="302"/>
      <c r="D17" s="301"/>
      <c r="E17" s="302"/>
    </row>
    <row r="18" spans="1:7" x14ac:dyDescent="0.3">
      <c r="A18" s="292" t="s">
        <v>452</v>
      </c>
      <c r="B18" s="293" t="s">
        <v>453</v>
      </c>
      <c r="C18" s="302"/>
      <c r="D18" s="293"/>
      <c r="E18" s="302"/>
    </row>
    <row r="19" spans="1:7" x14ac:dyDescent="0.3">
      <c r="A19" s="294"/>
      <c r="B19" s="295"/>
      <c r="C19" s="302"/>
      <c r="D19" s="295"/>
      <c r="E19" s="302"/>
    </row>
    <row r="20" spans="1:7" x14ac:dyDescent="0.3">
      <c r="A20" s="294"/>
      <c r="B20" s="303" t="s">
        <v>454</v>
      </c>
      <c r="C20" s="296">
        <f>+'calculo flujo de caja'!AB46</f>
        <v>-75593877128</v>
      </c>
      <c r="D20" s="303"/>
      <c r="E20" s="296">
        <v>-42860660834.732094</v>
      </c>
      <c r="G20" s="304"/>
    </row>
    <row r="21" spans="1:7" x14ac:dyDescent="0.3">
      <c r="A21" s="305"/>
      <c r="B21" s="303" t="s">
        <v>455</v>
      </c>
      <c r="C21" s="296">
        <v>0</v>
      </c>
      <c r="D21" s="303"/>
      <c r="E21" s="296">
        <v>317584545</v>
      </c>
    </row>
    <row r="22" spans="1:7" hidden="1" x14ac:dyDescent="0.3">
      <c r="A22" s="294"/>
      <c r="B22" s="295" t="s">
        <v>456</v>
      </c>
      <c r="C22" s="306">
        <v>0</v>
      </c>
      <c r="D22" s="295"/>
      <c r="E22" s="306">
        <v>0</v>
      </c>
    </row>
    <row r="23" spans="1:7" x14ac:dyDescent="0.3">
      <c r="A23" s="294"/>
      <c r="B23" s="299" t="s">
        <v>457</v>
      </c>
      <c r="C23" s="300">
        <f>SUM(C20:C22)</f>
        <v>-75593877128</v>
      </c>
      <c r="D23" s="299"/>
      <c r="E23" s="300">
        <f>SUM(E20:E22)</f>
        <v>-42543076289.732094</v>
      </c>
    </row>
    <row r="24" spans="1:7" x14ac:dyDescent="0.3">
      <c r="A24" s="294"/>
      <c r="B24" s="295"/>
      <c r="C24" s="302"/>
      <c r="D24" s="295"/>
      <c r="E24" s="302"/>
    </row>
    <row r="25" spans="1:7" x14ac:dyDescent="0.3">
      <c r="A25" s="292" t="s">
        <v>458</v>
      </c>
      <c r="B25" s="293" t="s">
        <v>459</v>
      </c>
      <c r="C25" s="302"/>
      <c r="D25" s="293"/>
      <c r="E25" s="302"/>
    </row>
    <row r="26" spans="1:7" x14ac:dyDescent="0.3">
      <c r="A26" s="294"/>
      <c r="B26" s="293"/>
      <c r="C26" s="302"/>
      <c r="D26" s="293"/>
      <c r="E26" s="302"/>
    </row>
    <row r="27" spans="1:7" x14ac:dyDescent="0.3">
      <c r="A27" s="294"/>
      <c r="B27" s="295" t="s">
        <v>460</v>
      </c>
      <c r="C27" s="296">
        <f>+'calculo flujo de caja'!Y46</f>
        <v>85491333595.997864</v>
      </c>
      <c r="D27" s="295"/>
      <c r="E27" s="296">
        <v>59951863966</v>
      </c>
    </row>
    <row r="28" spans="1:7" x14ac:dyDescent="0.3">
      <c r="A28" s="294"/>
      <c r="B28" s="295" t="s">
        <v>479</v>
      </c>
      <c r="C28" s="296">
        <f>+'calculo flujo de caja'!V46</f>
        <v>-8453459814</v>
      </c>
      <c r="D28" s="295"/>
      <c r="E28" s="296">
        <v>-5412696774</v>
      </c>
    </row>
    <row r="29" spans="1:7" x14ac:dyDescent="0.3">
      <c r="A29" s="294"/>
      <c r="B29" s="299" t="s">
        <v>461</v>
      </c>
      <c r="C29" s="300">
        <f>SUM(C27:C28)</f>
        <v>77037873781.997864</v>
      </c>
      <c r="D29" s="299"/>
      <c r="E29" s="300">
        <f>SUM(E27:E28)</f>
        <v>54539167192</v>
      </c>
    </row>
    <row r="30" spans="1:7" x14ac:dyDescent="0.3">
      <c r="A30" s="294"/>
      <c r="B30" s="295"/>
      <c r="C30" s="296"/>
      <c r="D30" s="295"/>
      <c r="E30" s="296"/>
    </row>
    <row r="31" spans="1:7" x14ac:dyDescent="0.3">
      <c r="B31" s="307" t="s">
        <v>462</v>
      </c>
      <c r="C31" s="296">
        <f>+'calculo flujo de caja'!X46</f>
        <v>983981930</v>
      </c>
      <c r="D31" s="307"/>
      <c r="E31" s="296">
        <v>-654123907</v>
      </c>
    </row>
    <row r="32" spans="1:7" x14ac:dyDescent="0.3">
      <c r="B32" s="307"/>
      <c r="C32" s="302"/>
      <c r="D32" s="307"/>
      <c r="E32" s="302"/>
    </row>
    <row r="33" spans="1:8" x14ac:dyDescent="0.3">
      <c r="A33" s="292" t="s">
        <v>463</v>
      </c>
      <c r="B33" s="301" t="s">
        <v>464</v>
      </c>
      <c r="C33" s="296">
        <f>+C16+C23+C29+C31</f>
        <v>2341959355.5978394</v>
      </c>
      <c r="D33" s="301"/>
      <c r="E33" s="296">
        <f>+E16+E23+E29+E31</f>
        <v>-4550048777.0000076</v>
      </c>
      <c r="F33" s="298"/>
      <c r="G33" s="304"/>
      <c r="H33" s="304"/>
    </row>
    <row r="34" spans="1:8" x14ac:dyDescent="0.3">
      <c r="A34" s="292"/>
      <c r="B34" s="301"/>
      <c r="C34" s="296"/>
      <c r="D34" s="301"/>
      <c r="E34" s="296"/>
    </row>
    <row r="35" spans="1:8" x14ac:dyDescent="0.3">
      <c r="A35" s="292" t="s">
        <v>465</v>
      </c>
      <c r="B35" s="308" t="s">
        <v>466</v>
      </c>
      <c r="C35" s="309">
        <f>+BG!F9</f>
        <v>8439245256</v>
      </c>
      <c r="D35" s="308"/>
      <c r="E35" s="309">
        <v>12989294033</v>
      </c>
    </row>
    <row r="36" spans="1:8" x14ac:dyDescent="0.3">
      <c r="A36" s="292"/>
      <c r="B36" s="308"/>
      <c r="C36" s="310"/>
      <c r="D36" s="308"/>
      <c r="E36" s="310"/>
    </row>
    <row r="37" spans="1:8" ht="15" thickBot="1" x14ac:dyDescent="0.35">
      <c r="A37" s="292" t="s">
        <v>467</v>
      </c>
      <c r="B37" s="308" t="s">
        <v>468</v>
      </c>
      <c r="C37" s="311">
        <f>+C33+C35</f>
        <v>10781204611.597839</v>
      </c>
      <c r="D37" s="308"/>
      <c r="E37" s="311">
        <f>+E33+E35</f>
        <v>8439245255.9999924</v>
      </c>
      <c r="F37" s="312"/>
    </row>
    <row r="38" spans="1:8" ht="15" thickTop="1" x14ac:dyDescent="0.3">
      <c r="B38" s="307"/>
      <c r="C38" s="302"/>
      <c r="D38" s="307"/>
      <c r="E38" s="302"/>
    </row>
    <row r="39" spans="1:8" x14ac:dyDescent="0.3">
      <c r="A39" s="123" t="s">
        <v>526</v>
      </c>
      <c r="B39" s="307"/>
      <c r="C39" s="302"/>
      <c r="D39" s="307"/>
      <c r="E39" s="302"/>
    </row>
    <row r="40" spans="1:8" x14ac:dyDescent="0.3">
      <c r="A40" s="294"/>
      <c r="B40" s="294"/>
      <c r="C40" s="302"/>
      <c r="D40" s="294"/>
      <c r="E40" s="302"/>
    </row>
    <row r="41" spans="1:8" x14ac:dyDescent="0.3">
      <c r="A41" s="313"/>
      <c r="B41" s="314" t="s">
        <v>469</v>
      </c>
      <c r="C41" s="315">
        <f>+C37-BG!D9</f>
        <v>-0.40216064453125</v>
      </c>
      <c r="D41" s="316"/>
      <c r="E41" s="315">
        <f>+E37-BG!F9</f>
        <v>-7.62939453125E-6</v>
      </c>
    </row>
    <row r="42" spans="1:8" x14ac:dyDescent="0.3">
      <c r="A42" s="294"/>
      <c r="B42" s="295"/>
      <c r="D42" s="295"/>
    </row>
    <row r="43" spans="1:8" x14ac:dyDescent="0.3">
      <c r="A43" s="294"/>
      <c r="B43" s="295"/>
      <c r="C43" s="304"/>
      <c r="D43" s="295"/>
      <c r="E43" s="304"/>
    </row>
    <row r="44" spans="1:8" x14ac:dyDescent="0.3">
      <c r="A44" s="294"/>
      <c r="B44" s="295"/>
      <c r="D44" s="295"/>
    </row>
    <row r="45" spans="1:8" x14ac:dyDescent="0.3">
      <c r="A45" s="294"/>
      <c r="B45" s="295"/>
      <c r="D45" s="295"/>
    </row>
    <row r="46" spans="1:8" x14ac:dyDescent="0.3">
      <c r="A46" s="294"/>
      <c r="B46" s="295"/>
      <c r="D46" s="295"/>
    </row>
    <row r="47" spans="1:8" x14ac:dyDescent="0.3">
      <c r="A47" s="294"/>
      <c r="B47" s="295"/>
      <c r="D47" s="295"/>
    </row>
    <row r="48" spans="1:8" x14ac:dyDescent="0.3">
      <c r="A48" s="294"/>
      <c r="B48" s="295"/>
      <c r="D48" s="295"/>
    </row>
    <row r="49" spans="1:4" x14ac:dyDescent="0.3">
      <c r="A49" s="294"/>
      <c r="B49" s="295"/>
      <c r="D49" s="295"/>
    </row>
    <row r="50" spans="1:4" x14ac:dyDescent="0.3">
      <c r="A50" s="294"/>
      <c r="B50" s="295"/>
      <c r="D50" s="295"/>
    </row>
    <row r="51" spans="1:4" x14ac:dyDescent="0.3">
      <c r="A51" s="294"/>
      <c r="B51" s="295"/>
      <c r="D51" s="295"/>
    </row>
    <row r="52" spans="1:4" x14ac:dyDescent="0.3">
      <c r="A52" s="294"/>
      <c r="B52" s="295"/>
      <c r="D52" s="295"/>
    </row>
    <row r="53" spans="1:4" x14ac:dyDescent="0.3">
      <c r="A53" s="294"/>
      <c r="B53" s="295"/>
      <c r="D53" s="295"/>
    </row>
    <row r="54" spans="1:4" x14ac:dyDescent="0.3">
      <c r="A54" s="294"/>
      <c r="B54" s="295"/>
      <c r="D54" s="295"/>
    </row>
    <row r="55" spans="1:4" x14ac:dyDescent="0.3">
      <c r="A55" s="294"/>
      <c r="B55" s="295"/>
      <c r="D55" s="295"/>
    </row>
    <row r="56" spans="1:4" x14ac:dyDescent="0.3">
      <c r="A56" s="294"/>
      <c r="B56" s="294"/>
      <c r="D56" s="294"/>
    </row>
    <row r="57" spans="1:4" x14ac:dyDescent="0.3">
      <c r="A57" s="294"/>
      <c r="B57" s="294"/>
      <c r="D57" s="294"/>
    </row>
    <row r="58" spans="1:4" x14ac:dyDescent="0.3">
      <c r="A58" s="294"/>
      <c r="B58" s="294"/>
      <c r="D58" s="294"/>
    </row>
    <row r="59" spans="1:4" x14ac:dyDescent="0.3">
      <c r="A59" s="294"/>
      <c r="B59" s="294"/>
      <c r="D59" s="294"/>
    </row>
    <row r="60" spans="1:4" x14ac:dyDescent="0.3">
      <c r="A60" s="294"/>
      <c r="B60" s="294"/>
      <c r="D60" s="294"/>
    </row>
    <row r="61" spans="1:4" x14ac:dyDescent="0.3">
      <c r="A61" s="294"/>
      <c r="B61" s="294"/>
      <c r="D61" s="294"/>
    </row>
    <row r="62" spans="1:4" x14ac:dyDescent="0.3">
      <c r="A62" s="294"/>
      <c r="B62" s="294"/>
      <c r="D62" s="294"/>
    </row>
    <row r="63" spans="1:4" x14ac:dyDescent="0.3">
      <c r="A63" s="294"/>
      <c r="B63" s="294"/>
      <c r="D63" s="294"/>
    </row>
    <row r="64" spans="1:4" x14ac:dyDescent="0.3">
      <c r="A64" s="294"/>
      <c r="B64" s="294"/>
      <c r="D64" s="294"/>
    </row>
    <row r="65" spans="1:4" x14ac:dyDescent="0.3">
      <c r="A65" s="294"/>
      <c r="B65" s="294"/>
      <c r="D65" s="294"/>
    </row>
    <row r="66" spans="1:4" x14ac:dyDescent="0.3">
      <c r="A66" s="294"/>
      <c r="B66" s="294"/>
      <c r="D66" s="294"/>
    </row>
    <row r="67" spans="1:4" x14ac:dyDescent="0.3">
      <c r="A67" s="294"/>
      <c r="B67" s="294"/>
      <c r="D67" s="294"/>
    </row>
    <row r="68" spans="1:4" x14ac:dyDescent="0.3">
      <c r="A68" s="294"/>
      <c r="B68" s="294"/>
      <c r="D68" s="294"/>
    </row>
    <row r="69" spans="1:4" x14ac:dyDescent="0.3">
      <c r="A69" s="294"/>
      <c r="B69" s="294"/>
      <c r="D69" s="294"/>
    </row>
    <row r="70" spans="1:4" x14ac:dyDescent="0.3">
      <c r="A70" s="294"/>
      <c r="B70" s="294"/>
      <c r="D70" s="294"/>
    </row>
    <row r="71" spans="1:4" x14ac:dyDescent="0.3">
      <c r="A71" s="294"/>
      <c r="B71" s="294"/>
      <c r="D71" s="294"/>
    </row>
    <row r="72" spans="1:4" x14ac:dyDescent="0.3">
      <c r="A72" s="294"/>
      <c r="B72" s="294"/>
      <c r="D72" s="294"/>
    </row>
    <row r="73" spans="1:4" x14ac:dyDescent="0.3">
      <c r="A73" s="294"/>
      <c r="B73" s="294"/>
      <c r="D73" s="294"/>
    </row>
    <row r="74" spans="1:4" x14ac:dyDescent="0.3">
      <c r="A74" s="294"/>
      <c r="B74" s="294"/>
      <c r="D74" s="294"/>
    </row>
    <row r="75" spans="1:4" x14ac:dyDescent="0.3">
      <c r="A75" s="294"/>
      <c r="B75" s="294"/>
      <c r="D75" s="294"/>
    </row>
    <row r="76" spans="1:4" x14ac:dyDescent="0.3">
      <c r="A76" s="294"/>
      <c r="B76" s="294"/>
      <c r="D76" s="294"/>
    </row>
    <row r="77" spans="1:4" x14ac:dyDescent="0.3">
      <c r="A77" s="294"/>
      <c r="B77" s="294"/>
      <c r="D77" s="294"/>
    </row>
    <row r="78" spans="1:4" x14ac:dyDescent="0.3">
      <c r="A78" s="294"/>
      <c r="B78" s="294"/>
      <c r="D78" s="294"/>
    </row>
    <row r="79" spans="1:4" x14ac:dyDescent="0.3">
      <c r="A79" s="294"/>
      <c r="B79" s="294"/>
      <c r="D79" s="294"/>
    </row>
    <row r="80" spans="1:4" x14ac:dyDescent="0.3">
      <c r="A80" s="294"/>
      <c r="B80" s="294"/>
      <c r="D80" s="294"/>
    </row>
    <row r="81" spans="1:4" x14ac:dyDescent="0.3">
      <c r="A81" s="294"/>
      <c r="B81" s="294"/>
      <c r="D81" s="294"/>
    </row>
    <row r="82" spans="1:4" x14ac:dyDescent="0.3">
      <c r="A82" s="294"/>
      <c r="B82" s="294"/>
      <c r="D82" s="294"/>
    </row>
    <row r="83" spans="1:4" x14ac:dyDescent="0.3">
      <c r="A83" s="294"/>
      <c r="B83" s="294"/>
      <c r="D83" s="294"/>
    </row>
    <row r="84" spans="1:4" x14ac:dyDescent="0.3">
      <c r="A84" s="294"/>
      <c r="B84" s="294"/>
      <c r="D84" s="294"/>
    </row>
    <row r="85" spans="1:4" x14ac:dyDescent="0.3">
      <c r="A85" s="294"/>
      <c r="B85" s="294"/>
      <c r="D85" s="294"/>
    </row>
    <row r="86" spans="1:4" x14ac:dyDescent="0.3">
      <c r="A86" s="294"/>
      <c r="B86" s="294"/>
      <c r="D86" s="294"/>
    </row>
    <row r="87" spans="1:4" x14ac:dyDescent="0.3">
      <c r="A87" s="294"/>
      <c r="B87" s="294"/>
      <c r="D87" s="294"/>
    </row>
    <row r="88" spans="1:4" x14ac:dyDescent="0.3">
      <c r="A88" s="294"/>
      <c r="B88" s="294"/>
      <c r="D88" s="294"/>
    </row>
    <row r="89" spans="1:4" x14ac:dyDescent="0.3">
      <c r="A89" s="294"/>
      <c r="B89" s="294"/>
      <c r="D89" s="294"/>
    </row>
    <row r="90" spans="1:4" x14ac:dyDescent="0.3">
      <c r="A90" s="294"/>
      <c r="B90" s="294"/>
      <c r="D90" s="294"/>
    </row>
    <row r="91" spans="1:4" x14ac:dyDescent="0.3">
      <c r="A91" s="294"/>
      <c r="B91" s="294"/>
      <c r="D91" s="294"/>
    </row>
    <row r="92" spans="1:4" x14ac:dyDescent="0.3">
      <c r="A92" s="294"/>
      <c r="B92" s="294"/>
      <c r="D92" s="294"/>
    </row>
    <row r="93" spans="1:4" x14ac:dyDescent="0.3">
      <c r="A93" s="294"/>
      <c r="B93" s="294"/>
      <c r="D93" s="294"/>
    </row>
    <row r="94" spans="1:4" x14ac:dyDescent="0.3">
      <c r="A94" s="294"/>
      <c r="B94" s="294"/>
      <c r="D94" s="294"/>
    </row>
    <row r="95" spans="1:4" x14ac:dyDescent="0.3">
      <c r="A95" s="294"/>
      <c r="B95" s="294"/>
      <c r="D95" s="294"/>
    </row>
    <row r="96" spans="1:4" x14ac:dyDescent="0.3">
      <c r="A96" s="294"/>
      <c r="B96" s="294"/>
      <c r="D96" s="294"/>
    </row>
    <row r="97" spans="1:4" x14ac:dyDescent="0.3">
      <c r="A97" s="294"/>
      <c r="B97" s="294"/>
      <c r="D97" s="294"/>
    </row>
    <row r="98" spans="1:4" x14ac:dyDescent="0.3">
      <c r="A98" s="294"/>
      <c r="B98" s="294"/>
      <c r="D98" s="294"/>
    </row>
    <row r="99" spans="1:4" x14ac:dyDescent="0.3">
      <c r="A99" s="294"/>
      <c r="B99" s="294"/>
      <c r="D99" s="294"/>
    </row>
    <row r="100" spans="1:4" x14ac:dyDescent="0.3">
      <c r="A100" s="294"/>
      <c r="B100" s="294"/>
      <c r="D100" s="294"/>
    </row>
    <row r="101" spans="1:4" x14ac:dyDescent="0.3">
      <c r="A101" s="294"/>
      <c r="B101" s="294"/>
      <c r="D101" s="294"/>
    </row>
    <row r="102" spans="1:4" x14ac:dyDescent="0.3">
      <c r="A102" s="294"/>
      <c r="B102" s="294"/>
      <c r="D102" s="294"/>
    </row>
    <row r="103" spans="1:4" x14ac:dyDescent="0.3">
      <c r="A103" s="294"/>
      <c r="B103" s="294"/>
      <c r="D103" s="294"/>
    </row>
    <row r="104" spans="1:4" x14ac:dyDescent="0.3">
      <c r="A104" s="294"/>
      <c r="B104" s="294"/>
      <c r="D104" s="294"/>
    </row>
    <row r="105" spans="1:4" x14ac:dyDescent="0.3">
      <c r="A105" s="294"/>
      <c r="B105" s="294"/>
      <c r="D105" s="294"/>
    </row>
    <row r="106" spans="1:4" x14ac:dyDescent="0.3">
      <c r="A106" s="294"/>
      <c r="B106" s="294"/>
      <c r="D106" s="294"/>
    </row>
    <row r="107" spans="1:4" x14ac:dyDescent="0.3">
      <c r="A107" s="294"/>
      <c r="B107" s="294"/>
      <c r="D107" s="294"/>
    </row>
    <row r="108" spans="1:4" x14ac:dyDescent="0.3">
      <c r="A108" s="294"/>
      <c r="B108" s="294"/>
      <c r="D108" s="294"/>
    </row>
    <row r="109" spans="1:4" x14ac:dyDescent="0.3">
      <c r="A109" s="294"/>
      <c r="B109" s="294"/>
      <c r="D109" s="294"/>
    </row>
    <row r="110" spans="1:4" x14ac:dyDescent="0.3">
      <c r="A110" s="294"/>
      <c r="B110" s="294"/>
      <c r="D110" s="294"/>
    </row>
    <row r="111" spans="1:4" x14ac:dyDescent="0.3">
      <c r="A111" s="294"/>
      <c r="B111" s="294"/>
      <c r="D111" s="294"/>
    </row>
    <row r="112" spans="1:4" x14ac:dyDescent="0.3">
      <c r="A112" s="294"/>
      <c r="B112" s="294"/>
      <c r="D112" s="294"/>
    </row>
    <row r="113" spans="1:4" x14ac:dyDescent="0.3">
      <c r="A113" s="294"/>
      <c r="B113" s="294"/>
      <c r="D113" s="294"/>
    </row>
    <row r="114" spans="1:4" x14ac:dyDescent="0.3">
      <c r="A114" s="294"/>
      <c r="B114" s="294"/>
      <c r="D114" s="294"/>
    </row>
    <row r="115" spans="1:4" x14ac:dyDescent="0.3">
      <c r="A115" s="294"/>
      <c r="B115" s="294"/>
      <c r="D115" s="294"/>
    </row>
    <row r="116" spans="1:4" x14ac:dyDescent="0.3">
      <c r="A116" s="294"/>
      <c r="B116" s="294"/>
      <c r="D116" s="294"/>
    </row>
    <row r="117" spans="1:4" x14ac:dyDescent="0.3">
      <c r="A117" s="294"/>
      <c r="B117" s="294"/>
      <c r="D117" s="294"/>
    </row>
    <row r="118" spans="1:4" x14ac:dyDescent="0.3">
      <c r="A118" s="294"/>
      <c r="B118" s="294"/>
      <c r="D118" s="294"/>
    </row>
    <row r="119" spans="1:4" x14ac:dyDescent="0.3">
      <c r="A119" s="294"/>
      <c r="B119" s="294"/>
      <c r="D119" s="294"/>
    </row>
    <row r="120" spans="1:4" x14ac:dyDescent="0.3">
      <c r="A120" s="294"/>
      <c r="B120" s="294"/>
      <c r="D120" s="294"/>
    </row>
    <row r="121" spans="1:4" x14ac:dyDescent="0.3">
      <c r="A121" s="294"/>
      <c r="B121" s="294"/>
      <c r="D121" s="294"/>
    </row>
    <row r="122" spans="1:4" x14ac:dyDescent="0.3">
      <c r="A122" s="294"/>
      <c r="B122" s="294"/>
      <c r="D122" s="294"/>
    </row>
    <row r="123" spans="1:4" x14ac:dyDescent="0.3">
      <c r="A123" s="294"/>
      <c r="B123" s="294"/>
      <c r="D123" s="294"/>
    </row>
    <row r="124" spans="1:4" x14ac:dyDescent="0.3">
      <c r="A124" s="294"/>
      <c r="B124" s="294"/>
      <c r="D124" s="294"/>
    </row>
    <row r="125" spans="1:4" x14ac:dyDescent="0.3">
      <c r="A125" s="294"/>
      <c r="B125" s="294"/>
      <c r="D125" s="294"/>
    </row>
    <row r="126" spans="1:4" x14ac:dyDescent="0.3">
      <c r="A126" s="294"/>
      <c r="B126" s="294"/>
      <c r="D126" s="294"/>
    </row>
    <row r="127" spans="1:4" x14ac:dyDescent="0.3">
      <c r="A127" s="294"/>
      <c r="B127" s="294"/>
      <c r="D127" s="294"/>
    </row>
    <row r="128" spans="1:4" x14ac:dyDescent="0.3">
      <c r="A128" s="294"/>
      <c r="B128" s="294"/>
      <c r="D128" s="294"/>
    </row>
    <row r="129" spans="1:4" x14ac:dyDescent="0.3">
      <c r="A129" s="294"/>
      <c r="B129" s="294"/>
      <c r="D129" s="294"/>
    </row>
    <row r="130" spans="1:4" x14ac:dyDescent="0.3">
      <c r="A130" s="294"/>
      <c r="B130" s="294"/>
      <c r="D130" s="294"/>
    </row>
    <row r="131" spans="1:4" x14ac:dyDescent="0.3">
      <c r="A131" s="294"/>
      <c r="B131" s="294"/>
      <c r="D131" s="294"/>
    </row>
    <row r="132" spans="1:4" x14ac:dyDescent="0.3">
      <c r="A132" s="294"/>
      <c r="B132" s="294"/>
      <c r="D132" s="294"/>
    </row>
    <row r="133" spans="1:4" x14ac:dyDescent="0.3">
      <c r="A133" s="294"/>
      <c r="B133" s="294"/>
      <c r="D133" s="294"/>
    </row>
    <row r="134" spans="1:4" x14ac:dyDescent="0.3">
      <c r="A134" s="294"/>
      <c r="B134" s="294"/>
      <c r="D134" s="294"/>
    </row>
    <row r="135" spans="1:4" x14ac:dyDescent="0.3">
      <c r="A135" s="294"/>
      <c r="B135" s="294"/>
      <c r="D135" s="294"/>
    </row>
    <row r="136" spans="1:4" x14ac:dyDescent="0.3">
      <c r="A136" s="294"/>
      <c r="B136" s="294"/>
      <c r="D136" s="294"/>
    </row>
    <row r="137" spans="1:4" x14ac:dyDescent="0.3">
      <c r="A137" s="294"/>
      <c r="B137" s="294"/>
      <c r="D137" s="294"/>
    </row>
    <row r="138" spans="1:4" x14ac:dyDescent="0.3">
      <c r="A138" s="294"/>
      <c r="B138" s="294"/>
      <c r="D138" s="294"/>
    </row>
    <row r="139" spans="1:4" x14ac:dyDescent="0.3">
      <c r="A139" s="294"/>
      <c r="B139" s="294"/>
      <c r="D139" s="294"/>
    </row>
    <row r="140" spans="1:4" x14ac:dyDescent="0.3">
      <c r="A140" s="294"/>
      <c r="B140" s="294"/>
      <c r="D140" s="294"/>
    </row>
    <row r="141" spans="1:4" x14ac:dyDescent="0.3">
      <c r="A141" s="294"/>
      <c r="B141" s="294"/>
      <c r="D141" s="294"/>
    </row>
    <row r="142" spans="1:4" x14ac:dyDescent="0.3">
      <c r="A142" s="294"/>
      <c r="B142" s="294"/>
      <c r="D142" s="294"/>
    </row>
    <row r="143" spans="1:4" x14ac:dyDescent="0.3">
      <c r="A143" s="294"/>
      <c r="B143" s="294"/>
      <c r="D143" s="294"/>
    </row>
    <row r="144" spans="1:4" x14ac:dyDescent="0.3">
      <c r="A144" s="294"/>
      <c r="B144" s="294"/>
      <c r="D144" s="294"/>
    </row>
    <row r="145" spans="1:4" x14ac:dyDescent="0.3">
      <c r="A145" s="294"/>
      <c r="B145" s="294"/>
      <c r="D145" s="294"/>
    </row>
    <row r="146" spans="1:4" x14ac:dyDescent="0.3">
      <c r="A146" s="294"/>
      <c r="B146" s="294"/>
      <c r="D146" s="294"/>
    </row>
    <row r="147" spans="1:4" x14ac:dyDescent="0.3">
      <c r="A147" s="294"/>
      <c r="B147" s="294"/>
      <c r="D147" s="294"/>
    </row>
    <row r="148" spans="1:4" x14ac:dyDescent="0.3">
      <c r="A148" s="294"/>
      <c r="B148" s="294"/>
      <c r="D148" s="294"/>
    </row>
    <row r="149" spans="1:4" x14ac:dyDescent="0.3">
      <c r="A149" s="294"/>
      <c r="B149" s="294"/>
      <c r="D149" s="294"/>
    </row>
    <row r="150" spans="1:4" x14ac:dyDescent="0.3">
      <c r="A150" s="294"/>
      <c r="B150" s="294"/>
      <c r="D150" s="294"/>
    </row>
    <row r="151" spans="1:4" x14ac:dyDescent="0.3">
      <c r="A151" s="294"/>
      <c r="B151" s="294"/>
      <c r="D151" s="294"/>
    </row>
    <row r="152" spans="1:4" x14ac:dyDescent="0.3">
      <c r="A152" s="294"/>
      <c r="B152" s="294"/>
      <c r="D152" s="294"/>
    </row>
    <row r="153" spans="1:4" x14ac:dyDescent="0.3">
      <c r="A153" s="294"/>
      <c r="B153" s="294"/>
      <c r="D153" s="294"/>
    </row>
    <row r="154" spans="1:4" x14ac:dyDescent="0.3">
      <c r="A154" s="294"/>
      <c r="B154" s="294"/>
      <c r="D154" s="294"/>
    </row>
    <row r="155" spans="1:4" x14ac:dyDescent="0.3">
      <c r="A155" s="294"/>
      <c r="B155" s="294"/>
      <c r="D155" s="294"/>
    </row>
    <row r="156" spans="1:4" x14ac:dyDescent="0.3">
      <c r="A156" s="294"/>
      <c r="B156" s="294"/>
      <c r="D156" s="294"/>
    </row>
    <row r="157" spans="1:4" x14ac:dyDescent="0.3">
      <c r="A157" s="294"/>
      <c r="B157" s="294"/>
      <c r="D157" s="294"/>
    </row>
    <row r="158" spans="1:4" x14ac:dyDescent="0.3">
      <c r="A158" s="294"/>
      <c r="B158" s="294"/>
      <c r="D158" s="294"/>
    </row>
    <row r="159" spans="1:4" x14ac:dyDescent="0.3">
      <c r="A159" s="294"/>
      <c r="B159" s="294"/>
      <c r="D159" s="294"/>
    </row>
    <row r="160" spans="1:4" x14ac:dyDescent="0.3">
      <c r="A160" s="294"/>
      <c r="B160" s="294"/>
      <c r="D160" s="294"/>
    </row>
    <row r="161" spans="1:4" x14ac:dyDescent="0.3">
      <c r="A161" s="294"/>
      <c r="B161" s="294"/>
      <c r="D161" s="294"/>
    </row>
    <row r="162" spans="1:4" x14ac:dyDescent="0.3">
      <c r="A162" s="294"/>
      <c r="B162" s="294"/>
      <c r="D162" s="294"/>
    </row>
    <row r="163" spans="1:4" x14ac:dyDescent="0.3">
      <c r="A163" s="294"/>
      <c r="B163" s="294"/>
      <c r="D163" s="294"/>
    </row>
    <row r="164" spans="1:4" x14ac:dyDescent="0.3">
      <c r="A164" s="294"/>
      <c r="B164" s="294"/>
      <c r="D164" s="294"/>
    </row>
    <row r="165" spans="1:4" x14ac:dyDescent="0.3">
      <c r="A165" s="294"/>
      <c r="B165" s="294"/>
      <c r="D165" s="294"/>
    </row>
    <row r="166" spans="1:4" x14ac:dyDescent="0.3">
      <c r="A166" s="294"/>
      <c r="B166" s="294"/>
      <c r="D166" s="294"/>
    </row>
    <row r="167" spans="1:4" x14ac:dyDescent="0.3">
      <c r="A167" s="294"/>
      <c r="B167" s="294"/>
      <c r="D167" s="294"/>
    </row>
    <row r="168" spans="1:4" x14ac:dyDescent="0.3">
      <c r="A168" s="294"/>
      <c r="B168" s="294"/>
      <c r="D168" s="294"/>
    </row>
    <row r="169" spans="1:4" x14ac:dyDescent="0.3">
      <c r="A169" s="294"/>
      <c r="B169" s="294"/>
      <c r="D169" s="294"/>
    </row>
    <row r="170" spans="1:4" x14ac:dyDescent="0.3">
      <c r="A170" s="294"/>
      <c r="B170" s="294"/>
      <c r="D170" s="294"/>
    </row>
    <row r="171" spans="1:4" x14ac:dyDescent="0.3">
      <c r="A171" s="294"/>
      <c r="B171" s="294"/>
      <c r="D171" s="294"/>
    </row>
    <row r="172" spans="1:4" x14ac:dyDescent="0.3">
      <c r="A172" s="294"/>
      <c r="B172" s="294"/>
      <c r="D172" s="294"/>
    </row>
    <row r="173" spans="1:4" x14ac:dyDescent="0.3">
      <c r="A173" s="294"/>
      <c r="B173" s="294"/>
      <c r="D173" s="294"/>
    </row>
    <row r="174" spans="1:4" x14ac:dyDescent="0.3">
      <c r="A174" s="294"/>
      <c r="B174" s="294"/>
      <c r="D174" s="294"/>
    </row>
    <row r="175" spans="1:4" x14ac:dyDescent="0.3">
      <c r="A175" s="294"/>
      <c r="B175" s="294"/>
      <c r="D175" s="294"/>
    </row>
    <row r="176" spans="1:4" x14ac:dyDescent="0.3">
      <c r="A176" s="294"/>
      <c r="B176" s="294"/>
      <c r="D176" s="294"/>
    </row>
    <row r="177" spans="1:4" x14ac:dyDescent="0.3">
      <c r="A177" s="294"/>
      <c r="B177" s="294"/>
      <c r="D177" s="294"/>
    </row>
    <row r="178" spans="1:4" x14ac:dyDescent="0.3">
      <c r="A178" s="294"/>
      <c r="B178" s="294"/>
      <c r="D178" s="294"/>
    </row>
    <row r="179" spans="1:4" x14ac:dyDescent="0.3">
      <c r="A179" s="294"/>
      <c r="B179" s="294"/>
      <c r="D179" s="294"/>
    </row>
    <row r="180" spans="1:4" x14ac:dyDescent="0.3">
      <c r="A180" s="294"/>
      <c r="B180" s="294"/>
      <c r="D180" s="294"/>
    </row>
    <row r="181" spans="1:4" x14ac:dyDescent="0.3">
      <c r="A181" s="294"/>
      <c r="B181" s="294"/>
      <c r="D181" s="294"/>
    </row>
    <row r="182" spans="1:4" x14ac:dyDescent="0.3">
      <c r="A182" s="294"/>
      <c r="B182" s="294"/>
      <c r="D182" s="294"/>
    </row>
    <row r="183" spans="1:4" x14ac:dyDescent="0.3">
      <c r="A183" s="294"/>
      <c r="B183" s="294"/>
      <c r="D183" s="294"/>
    </row>
    <row r="184" spans="1:4" x14ac:dyDescent="0.3">
      <c r="A184" s="294"/>
      <c r="B184" s="294"/>
      <c r="D184" s="294"/>
    </row>
    <row r="185" spans="1:4" x14ac:dyDescent="0.3">
      <c r="A185" s="294"/>
      <c r="B185" s="294"/>
      <c r="D185" s="294"/>
    </row>
    <row r="186" spans="1:4" x14ac:dyDescent="0.3">
      <c r="A186" s="294"/>
      <c r="B186" s="294"/>
      <c r="D186" s="294"/>
    </row>
    <row r="187" spans="1:4" x14ac:dyDescent="0.3">
      <c r="A187" s="294"/>
      <c r="B187" s="294"/>
      <c r="D187" s="294"/>
    </row>
    <row r="188" spans="1:4" x14ac:dyDescent="0.3">
      <c r="A188" s="294"/>
      <c r="B188" s="294"/>
      <c r="D188" s="294"/>
    </row>
    <row r="189" spans="1:4" x14ac:dyDescent="0.3">
      <c r="A189" s="294"/>
      <c r="B189" s="294"/>
      <c r="D189" s="294"/>
    </row>
    <row r="190" spans="1:4" x14ac:dyDescent="0.3">
      <c r="A190" s="294"/>
      <c r="B190" s="294"/>
      <c r="D190" s="294"/>
    </row>
    <row r="191" spans="1:4" x14ac:dyDescent="0.3">
      <c r="A191" s="294"/>
      <c r="B191" s="294"/>
      <c r="D191" s="294"/>
    </row>
    <row r="192" spans="1:4" x14ac:dyDescent="0.3">
      <c r="A192" s="294"/>
      <c r="B192" s="294"/>
      <c r="D192" s="294"/>
    </row>
    <row r="193" spans="1:4" x14ac:dyDescent="0.3">
      <c r="A193" s="294"/>
      <c r="B193" s="294"/>
      <c r="D193" s="294"/>
    </row>
    <row r="194" spans="1:4" x14ac:dyDescent="0.3">
      <c r="A194" s="294"/>
      <c r="B194" s="294"/>
      <c r="D194" s="294"/>
    </row>
    <row r="195" spans="1:4" x14ac:dyDescent="0.3">
      <c r="A195" s="294"/>
      <c r="B195" s="294"/>
      <c r="D195" s="294"/>
    </row>
    <row r="196" spans="1:4" x14ac:dyDescent="0.3">
      <c r="A196" s="294"/>
      <c r="B196" s="294"/>
      <c r="D196" s="294"/>
    </row>
    <row r="197" spans="1:4" x14ac:dyDescent="0.3">
      <c r="A197" s="294"/>
      <c r="B197" s="294"/>
      <c r="D197" s="294"/>
    </row>
    <row r="198" spans="1:4" x14ac:dyDescent="0.3">
      <c r="A198" s="294"/>
      <c r="B198" s="294"/>
      <c r="D198" s="294"/>
    </row>
    <row r="199" spans="1:4" x14ac:dyDescent="0.3">
      <c r="A199" s="294"/>
      <c r="B199" s="294"/>
      <c r="D199" s="294"/>
    </row>
    <row r="200" spans="1:4" x14ac:dyDescent="0.3">
      <c r="A200" s="294"/>
      <c r="B200" s="294"/>
      <c r="D200" s="294"/>
    </row>
    <row r="201" spans="1:4" x14ac:dyDescent="0.3">
      <c r="A201" s="294"/>
      <c r="B201" s="294"/>
      <c r="D201" s="294"/>
    </row>
    <row r="202" spans="1:4" x14ac:dyDescent="0.3">
      <c r="A202" s="294"/>
      <c r="B202" s="294"/>
      <c r="D202" s="294"/>
    </row>
    <row r="203" spans="1:4" x14ac:dyDescent="0.3">
      <c r="A203" s="294"/>
      <c r="B203" s="294"/>
      <c r="D203" s="294"/>
    </row>
    <row r="204" spans="1:4" x14ac:dyDescent="0.3">
      <c r="A204" s="294"/>
      <c r="B204" s="294"/>
      <c r="D204" s="294"/>
    </row>
    <row r="205" spans="1:4" x14ac:dyDescent="0.3">
      <c r="A205" s="294"/>
      <c r="B205" s="294"/>
      <c r="D205" s="294"/>
    </row>
    <row r="206" spans="1:4" x14ac:dyDescent="0.3">
      <c r="A206" s="294"/>
      <c r="B206" s="294"/>
      <c r="D206" s="294"/>
    </row>
    <row r="207" spans="1:4" x14ac:dyDescent="0.3">
      <c r="A207" s="294"/>
      <c r="B207" s="294"/>
      <c r="D207" s="294"/>
    </row>
    <row r="208" spans="1:4" x14ac:dyDescent="0.3">
      <c r="A208" s="294"/>
      <c r="B208" s="294"/>
      <c r="D208" s="294"/>
    </row>
    <row r="209" spans="1:4" x14ac:dyDescent="0.3">
      <c r="A209" s="294"/>
      <c r="B209" s="294"/>
      <c r="D209" s="294"/>
    </row>
    <row r="210" spans="1:4" x14ac:dyDescent="0.3">
      <c r="A210" s="294"/>
      <c r="B210" s="294"/>
      <c r="D210" s="294"/>
    </row>
    <row r="211" spans="1:4" x14ac:dyDescent="0.3">
      <c r="A211" s="294"/>
      <c r="B211" s="294"/>
      <c r="D211" s="294"/>
    </row>
    <row r="212" spans="1:4" x14ac:dyDescent="0.3">
      <c r="A212" s="294"/>
      <c r="B212" s="294"/>
      <c r="D212" s="294"/>
    </row>
    <row r="213" spans="1:4" x14ac:dyDescent="0.3">
      <c r="A213" s="294"/>
      <c r="B213" s="294"/>
      <c r="D213" s="294"/>
    </row>
    <row r="214" spans="1:4" x14ac:dyDescent="0.3">
      <c r="A214" s="294"/>
      <c r="B214" s="294"/>
      <c r="D214" s="294"/>
    </row>
    <row r="215" spans="1:4" x14ac:dyDescent="0.3">
      <c r="A215" s="294"/>
      <c r="B215" s="294"/>
      <c r="D215" s="294"/>
    </row>
    <row r="216" spans="1:4" x14ac:dyDescent="0.3">
      <c r="A216" s="294"/>
      <c r="B216" s="294"/>
      <c r="D216" s="294"/>
    </row>
    <row r="217" spans="1:4" x14ac:dyDescent="0.3">
      <c r="A217" s="294"/>
      <c r="B217" s="294"/>
      <c r="D217" s="294"/>
    </row>
    <row r="218" spans="1:4" x14ac:dyDescent="0.3">
      <c r="A218" s="294"/>
      <c r="B218" s="294"/>
      <c r="D218" s="294"/>
    </row>
    <row r="219" spans="1:4" x14ac:dyDescent="0.3">
      <c r="A219" s="294"/>
      <c r="B219" s="294"/>
      <c r="D219" s="294"/>
    </row>
    <row r="220" spans="1:4" x14ac:dyDescent="0.3">
      <c r="A220" s="294"/>
      <c r="B220" s="294"/>
      <c r="D220" s="294"/>
    </row>
    <row r="221" spans="1:4" x14ac:dyDescent="0.3">
      <c r="A221" s="294"/>
      <c r="B221" s="294"/>
      <c r="D221" s="294"/>
    </row>
    <row r="222" spans="1:4" x14ac:dyDescent="0.3">
      <c r="A222" s="294"/>
      <c r="B222" s="294"/>
      <c r="D222" s="294"/>
    </row>
    <row r="223" spans="1:4" x14ac:dyDescent="0.3">
      <c r="A223" s="294"/>
      <c r="B223" s="294"/>
      <c r="D223" s="294"/>
    </row>
    <row r="224" spans="1:4" x14ac:dyDescent="0.3">
      <c r="A224" s="294"/>
      <c r="B224" s="294"/>
      <c r="D224" s="294"/>
    </row>
    <row r="225" spans="1:4" x14ac:dyDescent="0.3">
      <c r="A225" s="294"/>
      <c r="B225" s="294"/>
      <c r="D225" s="294"/>
    </row>
    <row r="226" spans="1:4" x14ac:dyDescent="0.3">
      <c r="A226" s="294"/>
      <c r="B226" s="294"/>
      <c r="D226" s="294"/>
    </row>
    <row r="227" spans="1:4" x14ac:dyDescent="0.3">
      <c r="A227" s="294"/>
      <c r="B227" s="294"/>
      <c r="D227" s="294"/>
    </row>
    <row r="228" spans="1:4" x14ac:dyDescent="0.3">
      <c r="A228" s="294"/>
      <c r="B228" s="294"/>
      <c r="D228" s="294"/>
    </row>
    <row r="229" spans="1:4" x14ac:dyDescent="0.3">
      <c r="A229" s="294"/>
      <c r="B229" s="294"/>
      <c r="D229" s="294"/>
    </row>
    <row r="230" spans="1:4" x14ac:dyDescent="0.3">
      <c r="A230" s="294"/>
      <c r="B230" s="294"/>
      <c r="D230" s="294"/>
    </row>
    <row r="231" spans="1:4" x14ac:dyDescent="0.3">
      <c r="A231" s="294"/>
      <c r="B231" s="294"/>
      <c r="D231" s="294"/>
    </row>
    <row r="232" spans="1:4" x14ac:dyDescent="0.3">
      <c r="A232" s="294"/>
      <c r="B232" s="294"/>
      <c r="D232" s="294"/>
    </row>
    <row r="233" spans="1:4" x14ac:dyDescent="0.3">
      <c r="A233" s="294"/>
      <c r="B233" s="294"/>
      <c r="D233" s="294"/>
    </row>
    <row r="234" spans="1:4" x14ac:dyDescent="0.3">
      <c r="A234" s="294"/>
      <c r="B234" s="294"/>
      <c r="D234" s="294"/>
    </row>
    <row r="235" spans="1:4" x14ac:dyDescent="0.3">
      <c r="A235" s="294"/>
      <c r="B235" s="294"/>
      <c r="D235" s="294"/>
    </row>
    <row r="236" spans="1:4" x14ac:dyDescent="0.3">
      <c r="A236" s="294"/>
      <c r="B236" s="294"/>
      <c r="D236" s="294"/>
    </row>
    <row r="237" spans="1:4" x14ac:dyDescent="0.3">
      <c r="A237" s="294"/>
      <c r="B237" s="294"/>
      <c r="D237" s="294"/>
    </row>
    <row r="238" spans="1:4" x14ac:dyDescent="0.3">
      <c r="A238" s="294"/>
      <c r="B238" s="294"/>
      <c r="D238" s="294"/>
    </row>
    <row r="239" spans="1:4" x14ac:dyDescent="0.3">
      <c r="A239" s="294"/>
      <c r="B239" s="294"/>
      <c r="D239" s="294"/>
    </row>
    <row r="240" spans="1:4" x14ac:dyDescent="0.3">
      <c r="A240" s="294"/>
      <c r="B240" s="294"/>
      <c r="D240" s="294"/>
    </row>
    <row r="241" spans="1:4" x14ac:dyDescent="0.3">
      <c r="A241" s="294"/>
      <c r="B241" s="294"/>
      <c r="D241" s="294"/>
    </row>
    <row r="242" spans="1:4" x14ac:dyDescent="0.3">
      <c r="A242" s="294"/>
      <c r="B242" s="294"/>
      <c r="D242" s="294"/>
    </row>
    <row r="243" spans="1:4" x14ac:dyDescent="0.3">
      <c r="A243" s="294"/>
      <c r="B243" s="294"/>
      <c r="D243" s="294"/>
    </row>
    <row r="244" spans="1:4" x14ac:dyDescent="0.3">
      <c r="A244" s="294"/>
      <c r="B244" s="294"/>
      <c r="D244" s="294"/>
    </row>
    <row r="245" spans="1:4" x14ac:dyDescent="0.3">
      <c r="A245" s="294"/>
      <c r="B245" s="294"/>
      <c r="D245" s="294"/>
    </row>
    <row r="246" spans="1:4" x14ac:dyDescent="0.3">
      <c r="A246" s="294"/>
      <c r="B246" s="294"/>
      <c r="D246" s="294"/>
    </row>
    <row r="247" spans="1:4" x14ac:dyDescent="0.3">
      <c r="A247" s="294"/>
      <c r="B247" s="294"/>
      <c r="D247" s="294"/>
    </row>
    <row r="248" spans="1:4" x14ac:dyDescent="0.3">
      <c r="A248" s="294"/>
      <c r="B248" s="294"/>
      <c r="D248" s="294"/>
    </row>
    <row r="249" spans="1:4" x14ac:dyDescent="0.3">
      <c r="A249" s="294"/>
      <c r="B249" s="294"/>
      <c r="D249" s="294"/>
    </row>
    <row r="250" spans="1:4" x14ac:dyDescent="0.3">
      <c r="A250" s="294"/>
      <c r="B250" s="294"/>
      <c r="D250" s="294"/>
    </row>
    <row r="251" spans="1:4" x14ac:dyDescent="0.3">
      <c r="A251" s="294"/>
      <c r="B251" s="294"/>
      <c r="D251" s="294"/>
    </row>
    <row r="252" spans="1:4" x14ac:dyDescent="0.3">
      <c r="A252" s="294"/>
      <c r="B252" s="294"/>
      <c r="D252" s="294"/>
    </row>
    <row r="253" spans="1:4" x14ac:dyDescent="0.3">
      <c r="A253" s="294"/>
      <c r="B253" s="294"/>
      <c r="D253" s="294"/>
    </row>
    <row r="254" spans="1:4" x14ac:dyDescent="0.3">
      <c r="A254" s="294"/>
      <c r="B254" s="294"/>
      <c r="D254" s="294"/>
    </row>
    <row r="255" spans="1:4" x14ac:dyDescent="0.3">
      <c r="A255" s="294"/>
      <c r="B255" s="294"/>
      <c r="D255" s="294"/>
    </row>
    <row r="256" spans="1:4" x14ac:dyDescent="0.3">
      <c r="A256" s="294"/>
      <c r="B256" s="294"/>
      <c r="D256" s="294"/>
    </row>
    <row r="257" spans="1:4" x14ac:dyDescent="0.3">
      <c r="A257" s="294"/>
      <c r="B257" s="294"/>
      <c r="D257" s="294"/>
    </row>
    <row r="258" spans="1:4" x14ac:dyDescent="0.3">
      <c r="A258" s="294"/>
      <c r="B258" s="294"/>
      <c r="D258" s="294"/>
    </row>
    <row r="259" spans="1:4" x14ac:dyDescent="0.3">
      <c r="A259" s="294"/>
      <c r="B259" s="294"/>
      <c r="D259" s="294"/>
    </row>
    <row r="260" spans="1:4" x14ac:dyDescent="0.3">
      <c r="A260" s="294"/>
      <c r="B260" s="294"/>
      <c r="D260" s="294"/>
    </row>
    <row r="261" spans="1:4" x14ac:dyDescent="0.3">
      <c r="A261" s="294"/>
      <c r="B261" s="294"/>
      <c r="D261" s="294"/>
    </row>
    <row r="262" spans="1:4" x14ac:dyDescent="0.3">
      <c r="A262" s="294"/>
      <c r="B262" s="294"/>
      <c r="D262" s="294"/>
    </row>
    <row r="263" spans="1:4" x14ac:dyDescent="0.3">
      <c r="A263" s="294"/>
      <c r="B263" s="294"/>
      <c r="D263" s="294"/>
    </row>
    <row r="264" spans="1:4" x14ac:dyDescent="0.3">
      <c r="A264" s="294"/>
      <c r="B264" s="294"/>
      <c r="D264" s="294"/>
    </row>
    <row r="265" spans="1:4" x14ac:dyDescent="0.3">
      <c r="A265" s="294"/>
      <c r="B265" s="294"/>
      <c r="D265" s="294"/>
    </row>
    <row r="266" spans="1:4" x14ac:dyDescent="0.3">
      <c r="A266" s="294"/>
      <c r="B266" s="294"/>
      <c r="D266" s="294"/>
    </row>
    <row r="267" spans="1:4" x14ac:dyDescent="0.3">
      <c r="A267" s="294"/>
      <c r="B267" s="294"/>
      <c r="D267" s="294"/>
    </row>
    <row r="268" spans="1:4" x14ac:dyDescent="0.3">
      <c r="A268" s="294"/>
      <c r="B268" s="294"/>
      <c r="D268" s="294"/>
    </row>
    <row r="269" spans="1:4" x14ac:dyDescent="0.3">
      <c r="A269" s="294"/>
      <c r="B269" s="294"/>
      <c r="D269" s="294"/>
    </row>
    <row r="270" spans="1:4" x14ac:dyDescent="0.3">
      <c r="A270" s="294"/>
      <c r="B270" s="294"/>
      <c r="D270" s="294"/>
    </row>
    <row r="271" spans="1:4" x14ac:dyDescent="0.3">
      <c r="A271" s="294"/>
      <c r="B271" s="294"/>
      <c r="D271" s="294"/>
    </row>
    <row r="272" spans="1:4" x14ac:dyDescent="0.3">
      <c r="A272" s="294"/>
      <c r="B272" s="294"/>
      <c r="D272" s="294"/>
    </row>
    <row r="273" spans="1:4" x14ac:dyDescent="0.3">
      <c r="A273" s="294"/>
      <c r="B273" s="294"/>
      <c r="D273" s="294"/>
    </row>
    <row r="274" spans="1:4" x14ac:dyDescent="0.3">
      <c r="A274" s="294"/>
      <c r="B274" s="294"/>
      <c r="D274" s="294"/>
    </row>
    <row r="275" spans="1:4" x14ac:dyDescent="0.3">
      <c r="A275" s="294"/>
      <c r="B275" s="294"/>
      <c r="D275" s="294"/>
    </row>
    <row r="276" spans="1:4" x14ac:dyDescent="0.3">
      <c r="A276" s="294"/>
      <c r="B276" s="294"/>
      <c r="D276" s="294"/>
    </row>
    <row r="277" spans="1:4" x14ac:dyDescent="0.3">
      <c r="A277" s="294"/>
      <c r="B277" s="294"/>
      <c r="D277" s="294"/>
    </row>
    <row r="278" spans="1:4" x14ac:dyDescent="0.3">
      <c r="A278" s="294"/>
      <c r="B278" s="294"/>
      <c r="D278" s="294"/>
    </row>
    <row r="279" spans="1:4" x14ac:dyDescent="0.3">
      <c r="A279" s="294"/>
      <c r="B279" s="294"/>
      <c r="D279" s="294"/>
    </row>
    <row r="280" spans="1:4" x14ac:dyDescent="0.3">
      <c r="A280" s="294"/>
      <c r="B280" s="294"/>
      <c r="D280" s="294"/>
    </row>
    <row r="281" spans="1:4" x14ac:dyDescent="0.3">
      <c r="A281" s="294"/>
      <c r="B281" s="294"/>
      <c r="D281" s="294"/>
    </row>
    <row r="282" spans="1:4" x14ac:dyDescent="0.3">
      <c r="A282" s="294"/>
      <c r="B282" s="294"/>
      <c r="D282" s="294"/>
    </row>
    <row r="283" spans="1:4" x14ac:dyDescent="0.3">
      <c r="A283" s="294"/>
      <c r="B283" s="294"/>
      <c r="D283" s="294"/>
    </row>
    <row r="284" spans="1:4" x14ac:dyDescent="0.3">
      <c r="A284" s="294"/>
      <c r="B284" s="294"/>
      <c r="D284" s="294"/>
    </row>
    <row r="285" spans="1:4" x14ac:dyDescent="0.3">
      <c r="A285" s="294"/>
      <c r="B285" s="294"/>
      <c r="D285" s="294"/>
    </row>
    <row r="286" spans="1:4" x14ac:dyDescent="0.3">
      <c r="A286" s="294"/>
      <c r="B286" s="294"/>
      <c r="D286" s="294"/>
    </row>
    <row r="287" spans="1:4" x14ac:dyDescent="0.3">
      <c r="A287" s="294"/>
      <c r="B287" s="294"/>
      <c r="D287" s="294"/>
    </row>
    <row r="288" spans="1:4" x14ac:dyDescent="0.3">
      <c r="A288" s="294"/>
      <c r="B288" s="294"/>
      <c r="D288" s="294"/>
    </row>
    <row r="289" spans="1:4" x14ac:dyDescent="0.3">
      <c r="A289" s="294"/>
      <c r="B289" s="294"/>
      <c r="D289" s="294"/>
    </row>
    <row r="290" spans="1:4" x14ac:dyDescent="0.3">
      <c r="A290" s="294"/>
      <c r="B290" s="294"/>
      <c r="D290" s="294"/>
    </row>
    <row r="291" spans="1:4" x14ac:dyDescent="0.3">
      <c r="A291" s="294"/>
      <c r="B291" s="294"/>
      <c r="D291" s="294"/>
    </row>
    <row r="292" spans="1:4" x14ac:dyDescent="0.3">
      <c r="A292" s="294"/>
      <c r="B292" s="294"/>
      <c r="D292" s="294"/>
    </row>
    <row r="293" spans="1:4" x14ac:dyDescent="0.3">
      <c r="A293" s="294"/>
      <c r="B293" s="294"/>
      <c r="D293" s="294"/>
    </row>
    <row r="294" spans="1:4" x14ac:dyDescent="0.3">
      <c r="A294" s="294"/>
      <c r="B294" s="294"/>
      <c r="D294" s="294"/>
    </row>
    <row r="295" spans="1:4" x14ac:dyDescent="0.3">
      <c r="A295" s="294"/>
      <c r="B295" s="294"/>
      <c r="D295" s="294"/>
    </row>
    <row r="296" spans="1:4" x14ac:dyDescent="0.3">
      <c r="A296" s="294"/>
      <c r="B296" s="294"/>
      <c r="D296" s="294"/>
    </row>
    <row r="297" spans="1:4" x14ac:dyDescent="0.3">
      <c r="A297" s="294"/>
      <c r="B297" s="294"/>
      <c r="D297" s="294"/>
    </row>
    <row r="298" spans="1:4" x14ac:dyDescent="0.3">
      <c r="A298" s="294"/>
      <c r="B298" s="294"/>
      <c r="D298" s="294"/>
    </row>
    <row r="299" spans="1:4" x14ac:dyDescent="0.3">
      <c r="A299" s="294"/>
      <c r="B299" s="294"/>
      <c r="D299" s="294"/>
    </row>
    <row r="300" spans="1:4" x14ac:dyDescent="0.3">
      <c r="A300" s="294"/>
      <c r="B300" s="294"/>
      <c r="D300" s="294"/>
    </row>
    <row r="301" spans="1:4" x14ac:dyDescent="0.3">
      <c r="A301" s="294"/>
      <c r="B301" s="294"/>
      <c r="D301" s="294"/>
    </row>
    <row r="302" spans="1:4" x14ac:dyDescent="0.3">
      <c r="A302" s="294"/>
      <c r="B302" s="294"/>
      <c r="D302" s="294"/>
    </row>
    <row r="303" spans="1:4" x14ac:dyDescent="0.3">
      <c r="A303" s="294"/>
      <c r="B303" s="294"/>
      <c r="D303" s="294"/>
    </row>
    <row r="304" spans="1:4" x14ac:dyDescent="0.3">
      <c r="A304" s="294"/>
      <c r="B304" s="294"/>
      <c r="D304" s="294"/>
    </row>
    <row r="305" spans="1:4" x14ac:dyDescent="0.3">
      <c r="A305" s="294"/>
      <c r="B305" s="294"/>
      <c r="D305" s="294"/>
    </row>
    <row r="306" spans="1:4" x14ac:dyDescent="0.3">
      <c r="A306" s="294"/>
      <c r="B306" s="294"/>
      <c r="D306" s="294"/>
    </row>
    <row r="307" spans="1:4" x14ac:dyDescent="0.3">
      <c r="A307" s="294"/>
      <c r="B307" s="294"/>
      <c r="D307" s="294"/>
    </row>
    <row r="308" spans="1:4" x14ac:dyDescent="0.3">
      <c r="A308" s="294"/>
      <c r="B308" s="294"/>
      <c r="D308" s="294"/>
    </row>
    <row r="309" spans="1:4" x14ac:dyDescent="0.3">
      <c r="A309" s="294"/>
      <c r="B309" s="294"/>
      <c r="D309" s="294"/>
    </row>
    <row r="310" spans="1:4" x14ac:dyDescent="0.3">
      <c r="A310" s="294"/>
      <c r="B310" s="294"/>
      <c r="D310" s="294"/>
    </row>
    <row r="311" spans="1:4" x14ac:dyDescent="0.3">
      <c r="A311" s="294"/>
      <c r="B311" s="294"/>
      <c r="D311" s="294"/>
    </row>
    <row r="312" spans="1:4" x14ac:dyDescent="0.3">
      <c r="A312" s="294"/>
      <c r="B312" s="294"/>
      <c r="D312" s="294"/>
    </row>
    <row r="313" spans="1:4" x14ac:dyDescent="0.3">
      <c r="A313" s="294"/>
      <c r="B313" s="294"/>
      <c r="D313" s="294"/>
    </row>
    <row r="314" spans="1:4" x14ac:dyDescent="0.3">
      <c r="A314" s="294"/>
      <c r="B314" s="294"/>
      <c r="D314" s="294"/>
    </row>
    <row r="315" spans="1:4" x14ac:dyDescent="0.3">
      <c r="A315" s="294"/>
      <c r="B315" s="294"/>
      <c r="D315" s="294"/>
    </row>
    <row r="316" spans="1:4" x14ac:dyDescent="0.3">
      <c r="A316" s="294"/>
      <c r="B316" s="294"/>
      <c r="D316" s="294"/>
    </row>
    <row r="317" spans="1:4" x14ac:dyDescent="0.3">
      <c r="A317" s="294"/>
      <c r="B317" s="294"/>
      <c r="D317" s="294"/>
    </row>
    <row r="318" spans="1:4" x14ac:dyDescent="0.3">
      <c r="A318" s="294"/>
      <c r="B318" s="294"/>
      <c r="D318" s="294"/>
    </row>
    <row r="319" spans="1:4" x14ac:dyDescent="0.3">
      <c r="A319" s="294"/>
      <c r="B319" s="294"/>
      <c r="D319" s="294"/>
    </row>
    <row r="320" spans="1:4" x14ac:dyDescent="0.3">
      <c r="A320" s="294"/>
      <c r="B320" s="294"/>
      <c r="D320" s="294"/>
    </row>
    <row r="321" spans="1:4" x14ac:dyDescent="0.3">
      <c r="A321" s="294"/>
      <c r="B321" s="294"/>
      <c r="D321" s="294"/>
    </row>
    <row r="322" spans="1:4" x14ac:dyDescent="0.3">
      <c r="A322" s="294"/>
      <c r="B322" s="294"/>
      <c r="D322" s="294"/>
    </row>
    <row r="323" spans="1:4" x14ac:dyDescent="0.3">
      <c r="A323" s="294"/>
      <c r="B323" s="294"/>
      <c r="D323" s="294"/>
    </row>
    <row r="324" spans="1:4" x14ac:dyDescent="0.3">
      <c r="A324" s="294"/>
      <c r="B324" s="294"/>
      <c r="D324" s="294"/>
    </row>
    <row r="325" spans="1:4" x14ac:dyDescent="0.3">
      <c r="A325" s="294"/>
      <c r="B325" s="294"/>
      <c r="D325" s="294"/>
    </row>
    <row r="326" spans="1:4" x14ac:dyDescent="0.3">
      <c r="A326" s="294"/>
      <c r="B326" s="294"/>
      <c r="D326" s="294"/>
    </row>
    <row r="327" spans="1:4" x14ac:dyDescent="0.3">
      <c r="A327" s="294"/>
      <c r="B327" s="294"/>
      <c r="D327" s="294"/>
    </row>
    <row r="328" spans="1:4" x14ac:dyDescent="0.3">
      <c r="A328" s="294"/>
      <c r="B328" s="294"/>
      <c r="D328" s="294"/>
    </row>
    <row r="329" spans="1:4" x14ac:dyDescent="0.3">
      <c r="A329" s="294"/>
      <c r="B329" s="294"/>
      <c r="D329" s="294"/>
    </row>
    <row r="330" spans="1:4" x14ac:dyDescent="0.3">
      <c r="A330" s="294"/>
      <c r="B330" s="294"/>
      <c r="D330" s="294"/>
    </row>
    <row r="331" spans="1:4" x14ac:dyDescent="0.3">
      <c r="A331" s="294"/>
      <c r="B331" s="294"/>
      <c r="D331" s="294"/>
    </row>
    <row r="332" spans="1:4" x14ac:dyDescent="0.3">
      <c r="A332" s="294"/>
      <c r="B332" s="294"/>
      <c r="D332" s="294"/>
    </row>
    <row r="333" spans="1:4" x14ac:dyDescent="0.3">
      <c r="A333" s="294"/>
      <c r="B333" s="294"/>
      <c r="D333" s="294"/>
    </row>
    <row r="334" spans="1:4" x14ac:dyDescent="0.3">
      <c r="A334" s="294"/>
      <c r="B334" s="294"/>
      <c r="D334" s="294"/>
    </row>
    <row r="335" spans="1:4" x14ac:dyDescent="0.3">
      <c r="A335" s="294"/>
      <c r="B335" s="294"/>
      <c r="D335" s="294"/>
    </row>
    <row r="336" spans="1:4" x14ac:dyDescent="0.3">
      <c r="A336" s="294"/>
      <c r="B336" s="294"/>
      <c r="D336" s="294"/>
    </row>
    <row r="337" spans="1:4" x14ac:dyDescent="0.3">
      <c r="A337" s="294"/>
      <c r="B337" s="294"/>
      <c r="D337" s="294"/>
    </row>
    <row r="338" spans="1:4" x14ac:dyDescent="0.3">
      <c r="A338" s="294"/>
      <c r="B338" s="294"/>
      <c r="D338" s="294"/>
    </row>
    <row r="339" spans="1:4" x14ac:dyDescent="0.3">
      <c r="A339" s="294"/>
      <c r="B339" s="294"/>
      <c r="D339" s="294"/>
    </row>
    <row r="340" spans="1:4" x14ac:dyDescent="0.3">
      <c r="A340" s="294"/>
      <c r="B340" s="294"/>
      <c r="D340" s="294"/>
    </row>
    <row r="341" spans="1:4" x14ac:dyDescent="0.3">
      <c r="A341" s="294"/>
      <c r="B341" s="294"/>
      <c r="D341" s="294"/>
    </row>
    <row r="342" spans="1:4" x14ac:dyDescent="0.3">
      <c r="A342" s="294"/>
      <c r="B342" s="294"/>
      <c r="D342" s="294"/>
    </row>
    <row r="343" spans="1:4" x14ac:dyDescent="0.3">
      <c r="A343" s="294"/>
      <c r="B343" s="294"/>
      <c r="D343" s="294"/>
    </row>
    <row r="344" spans="1:4" x14ac:dyDescent="0.3">
      <c r="A344" s="294"/>
      <c r="B344" s="294"/>
      <c r="D344" s="294"/>
    </row>
    <row r="345" spans="1:4" x14ac:dyDescent="0.3">
      <c r="A345" s="294"/>
      <c r="B345" s="294"/>
      <c r="D345" s="294"/>
    </row>
    <row r="346" spans="1:4" x14ac:dyDescent="0.3">
      <c r="A346" s="294"/>
      <c r="B346" s="294"/>
      <c r="D346" s="294"/>
    </row>
    <row r="347" spans="1:4" x14ac:dyDescent="0.3">
      <c r="A347" s="294"/>
      <c r="B347" s="294"/>
      <c r="D347" s="294"/>
    </row>
    <row r="348" spans="1:4" x14ac:dyDescent="0.3">
      <c r="A348" s="294"/>
      <c r="B348" s="294"/>
      <c r="D348" s="294"/>
    </row>
    <row r="349" spans="1:4" x14ac:dyDescent="0.3">
      <c r="A349" s="294"/>
      <c r="B349" s="294"/>
      <c r="D349" s="294"/>
    </row>
    <row r="350" spans="1:4" x14ac:dyDescent="0.3">
      <c r="A350" s="294"/>
      <c r="B350" s="294"/>
      <c r="D350" s="294"/>
    </row>
    <row r="351" spans="1:4" x14ac:dyDescent="0.3">
      <c r="A351" s="294"/>
      <c r="B351" s="294"/>
      <c r="D351" s="294"/>
    </row>
    <row r="352" spans="1:4" x14ac:dyDescent="0.3">
      <c r="A352" s="294"/>
      <c r="B352" s="294"/>
      <c r="D352" s="294"/>
    </row>
    <row r="353" spans="1:4" x14ac:dyDescent="0.3">
      <c r="A353" s="294"/>
      <c r="B353" s="294"/>
      <c r="D353" s="294"/>
    </row>
    <row r="354" spans="1:4" x14ac:dyDescent="0.3">
      <c r="A354" s="294"/>
      <c r="B354" s="294"/>
      <c r="D354" s="294"/>
    </row>
    <row r="355" spans="1:4" x14ac:dyDescent="0.3">
      <c r="A355" s="294"/>
      <c r="B355" s="294"/>
      <c r="D355" s="294"/>
    </row>
    <row r="356" spans="1:4" x14ac:dyDescent="0.3">
      <c r="A356" s="294"/>
      <c r="B356" s="294"/>
      <c r="D356" s="294"/>
    </row>
    <row r="357" spans="1:4" x14ac:dyDescent="0.3">
      <c r="A357" s="294"/>
      <c r="B357" s="294"/>
      <c r="D357" s="294"/>
    </row>
    <row r="358" spans="1:4" x14ac:dyDescent="0.3">
      <c r="A358" s="294"/>
      <c r="B358" s="294"/>
      <c r="D358" s="294"/>
    </row>
    <row r="359" spans="1:4" x14ac:dyDescent="0.3">
      <c r="A359" s="294"/>
      <c r="B359" s="294"/>
      <c r="D359" s="294"/>
    </row>
    <row r="360" spans="1:4" x14ac:dyDescent="0.3">
      <c r="A360" s="294"/>
      <c r="B360" s="294"/>
      <c r="D360" s="294"/>
    </row>
    <row r="361" spans="1:4" x14ac:dyDescent="0.3">
      <c r="A361" s="294"/>
      <c r="B361" s="294"/>
      <c r="D361" s="294"/>
    </row>
    <row r="362" spans="1:4" x14ac:dyDescent="0.3">
      <c r="A362" s="294"/>
      <c r="B362" s="294"/>
      <c r="D362" s="294"/>
    </row>
    <row r="363" spans="1:4" x14ac:dyDescent="0.3">
      <c r="A363" s="294"/>
      <c r="B363" s="294"/>
      <c r="D363" s="294"/>
    </row>
    <row r="364" spans="1:4" x14ac:dyDescent="0.3">
      <c r="A364" s="294"/>
      <c r="B364" s="294"/>
      <c r="D364" s="294"/>
    </row>
    <row r="365" spans="1:4" x14ac:dyDescent="0.3">
      <c r="A365" s="294"/>
      <c r="B365" s="294"/>
      <c r="D365" s="294"/>
    </row>
    <row r="366" spans="1:4" x14ac:dyDescent="0.3">
      <c r="A366" s="294"/>
      <c r="B366" s="294"/>
      <c r="D366" s="294"/>
    </row>
    <row r="367" spans="1:4" x14ac:dyDescent="0.3">
      <c r="A367" s="294"/>
      <c r="B367" s="294"/>
      <c r="D367" s="294"/>
    </row>
    <row r="368" spans="1:4" x14ac:dyDescent="0.3">
      <c r="A368" s="294"/>
      <c r="B368" s="294"/>
      <c r="D368" s="294"/>
    </row>
    <row r="369" spans="1:4" x14ac:dyDescent="0.3">
      <c r="A369" s="294"/>
      <c r="B369" s="294"/>
      <c r="D369" s="294"/>
    </row>
    <row r="370" spans="1:4" x14ac:dyDescent="0.3">
      <c r="A370" s="294"/>
      <c r="B370" s="294"/>
      <c r="D370" s="294"/>
    </row>
    <row r="371" spans="1:4" x14ac:dyDescent="0.3">
      <c r="A371" s="294"/>
      <c r="B371" s="294"/>
      <c r="D371" s="294"/>
    </row>
    <row r="372" spans="1:4" x14ac:dyDescent="0.3">
      <c r="A372" s="294"/>
      <c r="B372" s="294"/>
      <c r="D372" s="294"/>
    </row>
    <row r="373" spans="1:4" x14ac:dyDescent="0.3">
      <c r="A373" s="294"/>
      <c r="B373" s="294"/>
      <c r="D373" s="294"/>
    </row>
    <row r="374" spans="1:4" x14ac:dyDescent="0.3">
      <c r="A374" s="294"/>
      <c r="B374" s="294"/>
      <c r="D374" s="294"/>
    </row>
    <row r="375" spans="1:4" x14ac:dyDescent="0.3">
      <c r="A375" s="294"/>
      <c r="B375" s="294"/>
      <c r="D375" s="294"/>
    </row>
    <row r="376" spans="1:4" x14ac:dyDescent="0.3">
      <c r="A376" s="294"/>
      <c r="B376" s="294"/>
      <c r="D376" s="294"/>
    </row>
    <row r="377" spans="1:4" x14ac:dyDescent="0.3">
      <c r="A377" s="294"/>
      <c r="B377" s="294"/>
      <c r="D377" s="294"/>
    </row>
    <row r="378" spans="1:4" x14ac:dyDescent="0.3">
      <c r="A378" s="294"/>
      <c r="B378" s="294"/>
      <c r="D378" s="294"/>
    </row>
    <row r="379" spans="1:4" x14ac:dyDescent="0.3">
      <c r="A379" s="294"/>
      <c r="B379" s="294"/>
      <c r="D379" s="294"/>
    </row>
    <row r="380" spans="1:4" x14ac:dyDescent="0.3">
      <c r="A380" s="294"/>
      <c r="B380" s="294"/>
      <c r="D380" s="294"/>
    </row>
    <row r="381" spans="1:4" x14ac:dyDescent="0.3">
      <c r="A381" s="294"/>
      <c r="B381" s="294"/>
      <c r="D381" s="294"/>
    </row>
    <row r="382" spans="1:4" x14ac:dyDescent="0.3">
      <c r="A382" s="294"/>
      <c r="B382" s="294"/>
      <c r="D382" s="294"/>
    </row>
    <row r="383" spans="1:4" x14ac:dyDescent="0.3">
      <c r="A383" s="294"/>
      <c r="B383" s="294"/>
      <c r="D383" s="294"/>
    </row>
    <row r="384" spans="1:4" x14ac:dyDescent="0.3">
      <c r="A384" s="294"/>
      <c r="B384" s="294"/>
      <c r="D384" s="294"/>
    </row>
    <row r="385" spans="1:4" x14ac:dyDescent="0.3">
      <c r="A385" s="294"/>
      <c r="B385" s="294"/>
      <c r="D385" s="294"/>
    </row>
    <row r="386" spans="1:4" x14ac:dyDescent="0.3">
      <c r="A386" s="294"/>
      <c r="B386" s="294"/>
      <c r="D386" s="294"/>
    </row>
    <row r="387" spans="1:4" x14ac:dyDescent="0.3">
      <c r="A387" s="294"/>
      <c r="B387" s="294"/>
      <c r="D387" s="294"/>
    </row>
    <row r="388" spans="1:4" x14ac:dyDescent="0.3">
      <c r="A388" s="294"/>
      <c r="B388" s="294"/>
      <c r="D388" s="294"/>
    </row>
    <row r="389" spans="1:4" x14ac:dyDescent="0.3">
      <c r="A389" s="294"/>
      <c r="B389" s="294"/>
      <c r="D389" s="294"/>
    </row>
    <row r="390" spans="1:4" x14ac:dyDescent="0.3">
      <c r="A390" s="294"/>
      <c r="B390" s="294"/>
      <c r="D390" s="294"/>
    </row>
    <row r="391" spans="1:4" x14ac:dyDescent="0.3">
      <c r="A391" s="294"/>
      <c r="B391" s="294"/>
      <c r="D391" s="294"/>
    </row>
    <row r="392" spans="1:4" x14ac:dyDescent="0.3">
      <c r="A392" s="294"/>
      <c r="B392" s="294"/>
      <c r="D392" s="294"/>
    </row>
    <row r="393" spans="1:4" x14ac:dyDescent="0.3">
      <c r="A393" s="294"/>
      <c r="B393" s="294"/>
      <c r="D393" s="294"/>
    </row>
    <row r="394" spans="1:4" x14ac:dyDescent="0.3">
      <c r="A394" s="294"/>
      <c r="B394" s="294"/>
      <c r="D394" s="294"/>
    </row>
    <row r="395" spans="1:4" x14ac:dyDescent="0.3">
      <c r="A395" s="294"/>
      <c r="B395" s="294"/>
      <c r="D395" s="294"/>
    </row>
    <row r="396" spans="1:4" x14ac:dyDescent="0.3">
      <c r="A396" s="294"/>
      <c r="B396" s="294"/>
      <c r="D396" s="294"/>
    </row>
    <row r="397" spans="1:4" x14ac:dyDescent="0.3">
      <c r="A397" s="294"/>
      <c r="B397" s="294"/>
      <c r="D397" s="294"/>
    </row>
    <row r="398" spans="1:4" x14ac:dyDescent="0.3">
      <c r="A398" s="294"/>
      <c r="B398" s="294"/>
      <c r="D398" s="294"/>
    </row>
    <row r="399" spans="1:4" x14ac:dyDescent="0.3">
      <c r="A399" s="294"/>
      <c r="B399" s="294"/>
      <c r="D399" s="294"/>
    </row>
    <row r="400" spans="1:4" x14ac:dyDescent="0.3">
      <c r="A400" s="294"/>
      <c r="B400" s="294"/>
      <c r="D400" s="294"/>
    </row>
    <row r="401" spans="1:4" x14ac:dyDescent="0.3">
      <c r="A401" s="294"/>
      <c r="B401" s="294"/>
      <c r="D401" s="294"/>
    </row>
    <row r="402" spans="1:4" x14ac:dyDescent="0.3">
      <c r="A402" s="294"/>
      <c r="B402" s="294"/>
      <c r="D402" s="294"/>
    </row>
    <row r="403" spans="1:4" x14ac:dyDescent="0.3">
      <c r="A403" s="294"/>
      <c r="B403" s="294"/>
      <c r="D403" s="294"/>
    </row>
    <row r="404" spans="1:4" x14ac:dyDescent="0.3">
      <c r="A404" s="294"/>
      <c r="B404" s="294"/>
      <c r="D404" s="294"/>
    </row>
    <row r="405" spans="1:4" x14ac:dyDescent="0.3">
      <c r="A405" s="294"/>
      <c r="B405" s="294"/>
      <c r="D405" s="294"/>
    </row>
    <row r="406" spans="1:4" x14ac:dyDescent="0.3">
      <c r="A406" s="294"/>
      <c r="B406" s="294"/>
      <c r="D406" s="294"/>
    </row>
    <row r="407" spans="1:4" x14ac:dyDescent="0.3">
      <c r="A407" s="294"/>
      <c r="B407" s="294"/>
      <c r="D407" s="294"/>
    </row>
    <row r="408" spans="1:4" x14ac:dyDescent="0.3">
      <c r="A408" s="294"/>
      <c r="B408" s="294"/>
      <c r="D408" s="294"/>
    </row>
    <row r="409" spans="1:4" x14ac:dyDescent="0.3">
      <c r="A409" s="294"/>
      <c r="B409" s="294"/>
      <c r="D409" s="294"/>
    </row>
    <row r="410" spans="1:4" x14ac:dyDescent="0.3">
      <c r="A410" s="294"/>
      <c r="B410" s="294"/>
      <c r="D410" s="294"/>
    </row>
    <row r="411" spans="1:4" x14ac:dyDescent="0.3">
      <c r="A411" s="294"/>
      <c r="B411" s="294"/>
      <c r="D411" s="294"/>
    </row>
    <row r="412" spans="1:4" x14ac:dyDescent="0.3">
      <c r="A412" s="294"/>
      <c r="B412" s="294"/>
      <c r="D412" s="294"/>
    </row>
    <row r="413" spans="1:4" x14ac:dyDescent="0.3">
      <c r="A413" s="294"/>
      <c r="B413" s="294"/>
      <c r="D413" s="294"/>
    </row>
    <row r="414" spans="1:4" x14ac:dyDescent="0.3">
      <c r="A414" s="294"/>
      <c r="B414" s="294"/>
      <c r="D414" s="294"/>
    </row>
    <row r="415" spans="1:4" x14ac:dyDescent="0.3">
      <c r="A415" s="294"/>
      <c r="B415" s="294"/>
      <c r="D415" s="294"/>
    </row>
    <row r="416" spans="1:4" x14ac:dyDescent="0.3">
      <c r="A416" s="294"/>
      <c r="B416" s="294"/>
      <c r="D416" s="294"/>
    </row>
    <row r="417" spans="1:4" x14ac:dyDescent="0.3">
      <c r="A417" s="294"/>
      <c r="B417" s="294"/>
      <c r="D417" s="294"/>
    </row>
    <row r="418" spans="1:4" x14ac:dyDescent="0.3">
      <c r="A418" s="294"/>
      <c r="B418" s="294"/>
      <c r="D418" s="294"/>
    </row>
    <row r="419" spans="1:4" x14ac:dyDescent="0.3">
      <c r="A419" s="294"/>
      <c r="B419" s="294"/>
      <c r="D419" s="294"/>
    </row>
    <row r="420" spans="1:4" x14ac:dyDescent="0.3">
      <c r="A420" s="294"/>
      <c r="B420" s="294"/>
      <c r="D420" s="294"/>
    </row>
    <row r="421" spans="1:4" x14ac:dyDescent="0.3">
      <c r="A421" s="294"/>
      <c r="B421" s="294"/>
      <c r="D421" s="294"/>
    </row>
    <row r="422" spans="1:4" x14ac:dyDescent="0.3">
      <c r="A422" s="294"/>
      <c r="B422" s="294"/>
      <c r="D422" s="294"/>
    </row>
    <row r="423" spans="1:4" x14ac:dyDescent="0.3">
      <c r="A423" s="294"/>
      <c r="B423" s="294"/>
      <c r="D423" s="294"/>
    </row>
    <row r="424" spans="1:4" x14ac:dyDescent="0.3">
      <c r="A424" s="294"/>
      <c r="B424" s="294"/>
      <c r="D424" s="294"/>
    </row>
    <row r="425" spans="1:4" x14ac:dyDescent="0.3">
      <c r="A425" s="294"/>
      <c r="B425" s="294"/>
      <c r="D425" s="294"/>
    </row>
    <row r="426" spans="1:4" x14ac:dyDescent="0.3">
      <c r="A426" s="294"/>
      <c r="B426" s="294"/>
      <c r="D426" s="294"/>
    </row>
    <row r="427" spans="1:4" x14ac:dyDescent="0.3">
      <c r="A427" s="294"/>
      <c r="B427" s="294"/>
      <c r="D427" s="294"/>
    </row>
    <row r="428" spans="1:4" x14ac:dyDescent="0.3">
      <c r="A428" s="294"/>
      <c r="B428" s="294"/>
      <c r="D428" s="294"/>
    </row>
    <row r="429" spans="1:4" x14ac:dyDescent="0.3">
      <c r="A429" s="294"/>
      <c r="B429" s="294"/>
      <c r="D429" s="294"/>
    </row>
    <row r="430" spans="1:4" x14ac:dyDescent="0.3">
      <c r="A430" s="294"/>
      <c r="B430" s="294"/>
      <c r="D430" s="294"/>
    </row>
    <row r="431" spans="1:4" x14ac:dyDescent="0.3">
      <c r="A431" s="294"/>
      <c r="B431" s="294"/>
      <c r="D431" s="294"/>
    </row>
    <row r="432" spans="1:4" x14ac:dyDescent="0.3">
      <c r="A432" s="294"/>
      <c r="B432" s="294"/>
      <c r="D432" s="294"/>
    </row>
    <row r="433" spans="1:4" x14ac:dyDescent="0.3">
      <c r="A433" s="294"/>
      <c r="B433" s="294"/>
      <c r="D433" s="294"/>
    </row>
    <row r="434" spans="1:4" x14ac:dyDescent="0.3">
      <c r="A434" s="294"/>
      <c r="B434" s="294"/>
      <c r="D434" s="294"/>
    </row>
    <row r="435" spans="1:4" x14ac:dyDescent="0.3">
      <c r="A435" s="294"/>
      <c r="B435" s="294"/>
      <c r="D435" s="294"/>
    </row>
    <row r="436" spans="1:4" x14ac:dyDescent="0.3">
      <c r="A436" s="294"/>
      <c r="B436" s="294"/>
      <c r="D436" s="294"/>
    </row>
    <row r="437" spans="1:4" x14ac:dyDescent="0.3">
      <c r="A437" s="294"/>
      <c r="B437" s="294"/>
      <c r="D437" s="294"/>
    </row>
    <row r="438" spans="1:4" x14ac:dyDescent="0.3">
      <c r="A438" s="294"/>
      <c r="B438" s="294"/>
      <c r="D438" s="294"/>
    </row>
    <row r="439" spans="1:4" x14ac:dyDescent="0.3">
      <c r="A439" s="294"/>
      <c r="B439" s="294"/>
      <c r="D439" s="294"/>
    </row>
    <row r="440" spans="1:4" x14ac:dyDescent="0.3">
      <c r="A440" s="294"/>
      <c r="B440" s="294"/>
      <c r="D440" s="294"/>
    </row>
    <row r="441" spans="1:4" x14ac:dyDescent="0.3">
      <c r="A441" s="294"/>
      <c r="B441" s="294"/>
      <c r="D441" s="294"/>
    </row>
    <row r="442" spans="1:4" x14ac:dyDescent="0.3">
      <c r="A442" s="294"/>
      <c r="B442" s="294"/>
      <c r="D442" s="294"/>
    </row>
    <row r="443" spans="1:4" x14ac:dyDescent="0.3">
      <c r="A443" s="294"/>
      <c r="B443" s="294"/>
      <c r="D443" s="294"/>
    </row>
    <row r="444" spans="1:4" x14ac:dyDescent="0.3">
      <c r="A444" s="294"/>
      <c r="B444" s="294"/>
      <c r="D444" s="294"/>
    </row>
    <row r="445" spans="1:4" x14ac:dyDescent="0.3">
      <c r="A445" s="294"/>
      <c r="B445" s="294"/>
      <c r="D445" s="294"/>
    </row>
    <row r="446" spans="1:4" x14ac:dyDescent="0.3">
      <c r="A446" s="294"/>
      <c r="B446" s="294"/>
      <c r="D446" s="294"/>
    </row>
    <row r="447" spans="1:4" x14ac:dyDescent="0.3">
      <c r="A447" s="294"/>
      <c r="B447" s="294"/>
      <c r="D447" s="294"/>
    </row>
    <row r="448" spans="1:4" x14ac:dyDescent="0.3">
      <c r="A448" s="294"/>
      <c r="B448" s="294"/>
      <c r="D448" s="294"/>
    </row>
    <row r="449" spans="1:4" x14ac:dyDescent="0.3">
      <c r="A449" s="294"/>
      <c r="B449" s="294"/>
      <c r="D449" s="294"/>
    </row>
    <row r="450" spans="1:4" x14ac:dyDescent="0.3">
      <c r="A450" s="294"/>
      <c r="B450" s="294"/>
      <c r="D450" s="294"/>
    </row>
    <row r="451" spans="1:4" x14ac:dyDescent="0.3">
      <c r="A451" s="294"/>
      <c r="B451" s="294"/>
      <c r="D451" s="294"/>
    </row>
    <row r="452" spans="1:4" x14ac:dyDescent="0.3">
      <c r="A452" s="294"/>
      <c r="B452" s="294"/>
      <c r="D452" s="294"/>
    </row>
    <row r="453" spans="1:4" x14ac:dyDescent="0.3">
      <c r="A453" s="294"/>
      <c r="B453" s="294"/>
      <c r="D453" s="294"/>
    </row>
    <row r="454" spans="1:4" x14ac:dyDescent="0.3">
      <c r="A454" s="294"/>
      <c r="B454" s="294"/>
      <c r="D454" s="294"/>
    </row>
    <row r="455" spans="1:4" x14ac:dyDescent="0.3">
      <c r="A455" s="294"/>
      <c r="B455" s="294"/>
      <c r="D455" s="294"/>
    </row>
    <row r="456" spans="1:4" x14ac:dyDescent="0.3">
      <c r="A456" s="294"/>
      <c r="B456" s="294"/>
      <c r="D456" s="294"/>
    </row>
    <row r="457" spans="1:4" x14ac:dyDescent="0.3">
      <c r="A457" s="294"/>
      <c r="B457" s="294"/>
      <c r="D457" s="294"/>
    </row>
    <row r="458" spans="1:4" x14ac:dyDescent="0.3">
      <c r="A458" s="294"/>
      <c r="B458" s="294"/>
      <c r="D458" s="294"/>
    </row>
    <row r="459" spans="1:4" x14ac:dyDescent="0.3">
      <c r="A459" s="294"/>
      <c r="B459" s="294"/>
      <c r="D459" s="294"/>
    </row>
    <row r="460" spans="1:4" x14ac:dyDescent="0.3">
      <c r="A460" s="294"/>
      <c r="B460" s="294"/>
      <c r="D460" s="294"/>
    </row>
    <row r="461" spans="1:4" x14ac:dyDescent="0.3">
      <c r="A461" s="294"/>
      <c r="B461" s="294"/>
      <c r="D461" s="294"/>
    </row>
    <row r="462" spans="1:4" x14ac:dyDescent="0.3">
      <c r="A462" s="294"/>
      <c r="B462" s="294"/>
      <c r="D462" s="294"/>
    </row>
    <row r="463" spans="1:4" x14ac:dyDescent="0.3">
      <c r="A463" s="294"/>
      <c r="B463" s="294"/>
      <c r="D463" s="294"/>
    </row>
    <row r="464" spans="1:4" x14ac:dyDescent="0.3">
      <c r="A464" s="294"/>
      <c r="B464" s="294"/>
      <c r="D464" s="294"/>
    </row>
    <row r="465" spans="1:4" x14ac:dyDescent="0.3">
      <c r="A465" s="294"/>
      <c r="B465" s="294"/>
      <c r="D465" s="294"/>
    </row>
    <row r="466" spans="1:4" x14ac:dyDescent="0.3">
      <c r="A466" s="294"/>
      <c r="B466" s="294"/>
      <c r="D466" s="294"/>
    </row>
    <row r="467" spans="1:4" x14ac:dyDescent="0.3">
      <c r="A467" s="294"/>
      <c r="B467" s="294"/>
      <c r="D467" s="294"/>
    </row>
    <row r="468" spans="1:4" x14ac:dyDescent="0.3">
      <c r="A468" s="294"/>
      <c r="B468" s="294"/>
      <c r="D468" s="294"/>
    </row>
    <row r="469" spans="1:4" x14ac:dyDescent="0.3">
      <c r="A469" s="294"/>
      <c r="B469" s="294"/>
      <c r="D469" s="294"/>
    </row>
    <row r="470" spans="1:4" x14ac:dyDescent="0.3">
      <c r="A470" s="294"/>
      <c r="B470" s="294"/>
      <c r="D470" s="294"/>
    </row>
    <row r="471" spans="1:4" x14ac:dyDescent="0.3">
      <c r="A471" s="294"/>
      <c r="B471" s="294"/>
      <c r="D471" s="294"/>
    </row>
    <row r="472" spans="1:4" x14ac:dyDescent="0.3">
      <c r="A472" s="294"/>
      <c r="B472" s="294"/>
      <c r="D472" s="294"/>
    </row>
    <row r="473" spans="1:4" x14ac:dyDescent="0.3">
      <c r="A473" s="294"/>
      <c r="B473" s="294"/>
      <c r="D473" s="294"/>
    </row>
    <row r="474" spans="1:4" x14ac:dyDescent="0.3">
      <c r="A474" s="294"/>
      <c r="B474" s="294"/>
      <c r="D474" s="294"/>
    </row>
    <row r="475" spans="1:4" x14ac:dyDescent="0.3">
      <c r="A475" s="294"/>
      <c r="B475" s="294"/>
      <c r="D475" s="294"/>
    </row>
    <row r="476" spans="1:4" x14ac:dyDescent="0.3">
      <c r="A476" s="294"/>
      <c r="B476" s="294"/>
      <c r="D476" s="294"/>
    </row>
    <row r="477" spans="1:4" x14ac:dyDescent="0.3">
      <c r="A477" s="294"/>
      <c r="B477" s="294"/>
      <c r="D477" s="294"/>
    </row>
    <row r="478" spans="1:4" x14ac:dyDescent="0.3">
      <c r="A478" s="294"/>
      <c r="B478" s="294"/>
      <c r="D478" s="294"/>
    </row>
    <row r="479" spans="1:4" x14ac:dyDescent="0.3">
      <c r="A479" s="294"/>
      <c r="B479" s="294"/>
      <c r="D479" s="294"/>
    </row>
    <row r="480" spans="1:4" x14ac:dyDescent="0.3">
      <c r="A480" s="294"/>
      <c r="B480" s="294"/>
      <c r="D480" s="294"/>
    </row>
    <row r="481" spans="1:4" x14ac:dyDescent="0.3">
      <c r="A481" s="294"/>
      <c r="B481" s="294"/>
      <c r="D481" s="294"/>
    </row>
    <row r="482" spans="1:4" x14ac:dyDescent="0.3">
      <c r="A482" s="294"/>
      <c r="B482" s="294"/>
      <c r="D482" s="294"/>
    </row>
    <row r="483" spans="1:4" x14ac:dyDescent="0.3">
      <c r="A483" s="294"/>
      <c r="B483" s="294"/>
      <c r="D483" s="294"/>
    </row>
    <row r="484" spans="1:4" x14ac:dyDescent="0.3">
      <c r="A484" s="294"/>
      <c r="B484" s="294"/>
      <c r="D484" s="294"/>
    </row>
    <row r="485" spans="1:4" x14ac:dyDescent="0.3">
      <c r="A485" s="294"/>
      <c r="B485" s="294"/>
      <c r="D485" s="294"/>
    </row>
    <row r="486" spans="1:4" x14ac:dyDescent="0.3">
      <c r="A486" s="294"/>
      <c r="B486" s="294"/>
      <c r="D486" s="294"/>
    </row>
    <row r="487" spans="1:4" x14ac:dyDescent="0.3">
      <c r="A487" s="294"/>
      <c r="B487" s="294"/>
      <c r="D487" s="294"/>
    </row>
    <row r="488" spans="1:4" x14ac:dyDescent="0.3">
      <c r="A488" s="294"/>
      <c r="B488" s="294"/>
      <c r="D488" s="294"/>
    </row>
    <row r="489" spans="1:4" x14ac:dyDescent="0.3">
      <c r="A489" s="294"/>
      <c r="B489" s="294"/>
      <c r="D489" s="294"/>
    </row>
    <row r="490" spans="1:4" x14ac:dyDescent="0.3">
      <c r="A490" s="294"/>
      <c r="B490" s="294"/>
      <c r="D490" s="294"/>
    </row>
    <row r="491" spans="1:4" x14ac:dyDescent="0.3">
      <c r="A491" s="294"/>
      <c r="B491" s="294"/>
      <c r="D491" s="294"/>
    </row>
    <row r="492" spans="1:4" x14ac:dyDescent="0.3">
      <c r="A492" s="294"/>
      <c r="B492" s="294"/>
      <c r="D492" s="294"/>
    </row>
    <row r="493" spans="1:4" x14ac:dyDescent="0.3">
      <c r="A493" s="294"/>
      <c r="B493" s="294"/>
      <c r="D493" s="294"/>
    </row>
    <row r="494" spans="1:4" x14ac:dyDescent="0.3">
      <c r="A494" s="294"/>
      <c r="B494" s="294"/>
      <c r="D494" s="294"/>
    </row>
    <row r="495" spans="1:4" x14ac:dyDescent="0.3">
      <c r="A495" s="294"/>
      <c r="B495" s="294"/>
      <c r="D495" s="294"/>
    </row>
    <row r="496" spans="1:4" x14ac:dyDescent="0.3">
      <c r="A496" s="294"/>
      <c r="B496" s="294"/>
      <c r="D496" s="294"/>
    </row>
    <row r="497" spans="1:4" x14ac:dyDescent="0.3">
      <c r="A497" s="294"/>
      <c r="B497" s="294"/>
      <c r="D497" s="294"/>
    </row>
    <row r="498" spans="1:4" x14ac:dyDescent="0.3">
      <c r="A498" s="294"/>
      <c r="B498" s="294"/>
      <c r="D498" s="294"/>
    </row>
    <row r="499" spans="1:4" x14ac:dyDescent="0.3">
      <c r="A499" s="294"/>
      <c r="B499" s="294"/>
      <c r="D499" s="294"/>
    </row>
    <row r="500" spans="1:4" x14ac:dyDescent="0.3">
      <c r="A500" s="294"/>
      <c r="B500" s="294"/>
      <c r="D500" s="294"/>
    </row>
    <row r="501" spans="1:4" x14ac:dyDescent="0.3">
      <c r="A501" s="294"/>
      <c r="B501" s="294"/>
      <c r="D501" s="294"/>
    </row>
    <row r="502" spans="1:4" x14ac:dyDescent="0.3">
      <c r="A502" s="294"/>
      <c r="B502" s="294"/>
      <c r="D502" s="294"/>
    </row>
    <row r="503" spans="1:4" x14ac:dyDescent="0.3">
      <c r="A503" s="294"/>
      <c r="B503" s="294"/>
      <c r="D503" s="294"/>
    </row>
    <row r="504" spans="1:4" x14ac:dyDescent="0.3">
      <c r="A504" s="294"/>
      <c r="B504" s="294"/>
      <c r="D504" s="294"/>
    </row>
    <row r="505" spans="1:4" x14ac:dyDescent="0.3">
      <c r="A505" s="294"/>
      <c r="B505" s="294"/>
      <c r="D505" s="294"/>
    </row>
    <row r="506" spans="1:4" x14ac:dyDescent="0.3">
      <c r="A506" s="294"/>
      <c r="B506" s="294"/>
      <c r="D506" s="294"/>
    </row>
    <row r="507" spans="1:4" x14ac:dyDescent="0.3">
      <c r="A507" s="294"/>
      <c r="B507" s="294"/>
      <c r="D507" s="294"/>
    </row>
    <row r="508" spans="1:4" x14ac:dyDescent="0.3">
      <c r="A508" s="294"/>
      <c r="B508" s="294"/>
      <c r="D508" s="294"/>
    </row>
    <row r="509" spans="1:4" x14ac:dyDescent="0.3">
      <c r="A509" s="294"/>
      <c r="B509" s="294"/>
      <c r="D509" s="294"/>
    </row>
    <row r="510" spans="1:4" x14ac:dyDescent="0.3">
      <c r="A510" s="294"/>
      <c r="B510" s="294"/>
      <c r="D510" s="294"/>
    </row>
    <row r="511" spans="1:4" x14ac:dyDescent="0.3">
      <c r="A511" s="294"/>
      <c r="B511" s="294"/>
      <c r="D511" s="294"/>
    </row>
    <row r="512" spans="1:4" x14ac:dyDescent="0.3">
      <c r="A512" s="294"/>
      <c r="B512" s="294"/>
      <c r="D512" s="294"/>
    </row>
    <row r="513" spans="1:4" x14ac:dyDescent="0.3">
      <c r="A513" s="294"/>
      <c r="B513" s="294"/>
      <c r="D513" s="294"/>
    </row>
    <row r="514" spans="1:4" x14ac:dyDescent="0.3">
      <c r="A514" s="294"/>
      <c r="B514" s="294"/>
      <c r="D514" s="294"/>
    </row>
    <row r="515" spans="1:4" x14ac:dyDescent="0.3">
      <c r="A515" s="294"/>
      <c r="B515" s="294"/>
      <c r="D515" s="294"/>
    </row>
    <row r="516" spans="1:4" x14ac:dyDescent="0.3">
      <c r="A516" s="294"/>
      <c r="B516" s="294"/>
      <c r="D516" s="294"/>
    </row>
    <row r="517" spans="1:4" x14ac:dyDescent="0.3">
      <c r="A517" s="294"/>
      <c r="B517" s="294"/>
      <c r="D517" s="294"/>
    </row>
    <row r="518" spans="1:4" x14ac:dyDescent="0.3">
      <c r="A518" s="294"/>
      <c r="B518" s="294"/>
      <c r="D518" s="294"/>
    </row>
    <row r="519" spans="1:4" x14ac:dyDescent="0.3">
      <c r="A519" s="294"/>
      <c r="B519" s="294"/>
      <c r="D519" s="294"/>
    </row>
    <row r="520" spans="1:4" x14ac:dyDescent="0.3">
      <c r="A520" s="294"/>
      <c r="B520" s="294"/>
      <c r="D520" s="294"/>
    </row>
    <row r="521" spans="1:4" x14ac:dyDescent="0.3">
      <c r="A521" s="294"/>
      <c r="B521" s="294"/>
      <c r="D521" s="294"/>
    </row>
    <row r="522" spans="1:4" x14ac:dyDescent="0.3">
      <c r="A522" s="294"/>
      <c r="B522" s="294"/>
      <c r="D522" s="294"/>
    </row>
    <row r="523" spans="1:4" x14ac:dyDescent="0.3">
      <c r="A523" s="294"/>
      <c r="B523" s="294"/>
      <c r="D523" s="294"/>
    </row>
    <row r="524" spans="1:4" x14ac:dyDescent="0.3">
      <c r="A524" s="294"/>
      <c r="B524" s="294"/>
      <c r="D524" s="294"/>
    </row>
    <row r="525" spans="1:4" x14ac:dyDescent="0.3">
      <c r="A525" s="294"/>
      <c r="B525" s="294"/>
      <c r="D525" s="294"/>
    </row>
    <row r="526" spans="1:4" x14ac:dyDescent="0.3">
      <c r="A526" s="294"/>
      <c r="B526" s="294"/>
      <c r="D526" s="294"/>
    </row>
    <row r="527" spans="1:4" x14ac:dyDescent="0.3">
      <c r="A527" s="294"/>
      <c r="B527" s="294"/>
      <c r="D527" s="294"/>
    </row>
    <row r="528" spans="1:4" x14ac:dyDescent="0.3">
      <c r="A528" s="294"/>
      <c r="B528" s="294"/>
      <c r="D528" s="294"/>
    </row>
    <row r="529" spans="1:4" x14ac:dyDescent="0.3">
      <c r="A529" s="294"/>
      <c r="B529" s="294"/>
      <c r="D529" s="294"/>
    </row>
    <row r="530" spans="1:4" x14ac:dyDescent="0.3">
      <c r="A530" s="294"/>
      <c r="B530" s="294"/>
      <c r="D530" s="294"/>
    </row>
    <row r="531" spans="1:4" x14ac:dyDescent="0.3">
      <c r="A531" s="294"/>
      <c r="B531" s="294"/>
      <c r="D531" s="294"/>
    </row>
    <row r="532" spans="1:4" x14ac:dyDescent="0.3">
      <c r="A532" s="294"/>
      <c r="B532" s="294"/>
      <c r="D532" s="294"/>
    </row>
    <row r="533" spans="1:4" x14ac:dyDescent="0.3">
      <c r="A533" s="294"/>
      <c r="B533" s="294"/>
      <c r="D533" s="294"/>
    </row>
    <row r="534" spans="1:4" x14ac:dyDescent="0.3">
      <c r="A534" s="294"/>
      <c r="B534" s="294"/>
      <c r="D534" s="294"/>
    </row>
    <row r="535" spans="1:4" x14ac:dyDescent="0.3">
      <c r="A535" s="294"/>
      <c r="B535" s="294"/>
      <c r="D535" s="294"/>
    </row>
    <row r="536" spans="1:4" x14ac:dyDescent="0.3">
      <c r="A536" s="294"/>
      <c r="B536" s="294"/>
      <c r="D536" s="294"/>
    </row>
    <row r="537" spans="1:4" x14ac:dyDescent="0.3">
      <c r="A537" s="294"/>
      <c r="B537" s="294"/>
      <c r="D537" s="294"/>
    </row>
    <row r="538" spans="1:4" x14ac:dyDescent="0.3">
      <c r="A538" s="294"/>
      <c r="B538" s="294"/>
      <c r="D538" s="294"/>
    </row>
    <row r="539" spans="1:4" x14ac:dyDescent="0.3">
      <c r="A539" s="294"/>
      <c r="B539" s="294"/>
      <c r="D539" s="294"/>
    </row>
    <row r="540" spans="1:4" x14ac:dyDescent="0.3">
      <c r="A540" s="294"/>
      <c r="B540" s="294"/>
      <c r="D540" s="294"/>
    </row>
    <row r="541" spans="1:4" x14ac:dyDescent="0.3">
      <c r="A541" s="294"/>
      <c r="B541" s="294"/>
      <c r="D541" s="294"/>
    </row>
    <row r="542" spans="1:4" x14ac:dyDescent="0.3">
      <c r="A542" s="294"/>
      <c r="B542" s="294"/>
      <c r="D542" s="294"/>
    </row>
    <row r="543" spans="1:4" x14ac:dyDescent="0.3">
      <c r="A543" s="294"/>
      <c r="B543" s="294"/>
      <c r="D543" s="294"/>
    </row>
    <row r="544" spans="1:4" x14ac:dyDescent="0.3">
      <c r="A544" s="294"/>
      <c r="B544" s="294"/>
      <c r="D544" s="294"/>
    </row>
    <row r="545" spans="1:4" x14ac:dyDescent="0.3">
      <c r="A545" s="294"/>
      <c r="B545" s="294"/>
      <c r="D545" s="294"/>
    </row>
    <row r="546" spans="1:4" x14ac:dyDescent="0.3">
      <c r="A546" s="294"/>
      <c r="B546" s="294"/>
      <c r="D546" s="294"/>
    </row>
    <row r="547" spans="1:4" x14ac:dyDescent="0.3">
      <c r="A547" s="294"/>
      <c r="B547" s="294"/>
      <c r="D547" s="294"/>
    </row>
    <row r="548" spans="1:4" x14ac:dyDescent="0.3">
      <c r="A548" s="294"/>
      <c r="B548" s="294"/>
      <c r="D548" s="294"/>
    </row>
    <row r="549" spans="1:4" x14ac:dyDescent="0.3">
      <c r="A549" s="294"/>
      <c r="B549" s="294"/>
      <c r="D549" s="294"/>
    </row>
    <row r="550" spans="1:4" x14ac:dyDescent="0.3">
      <c r="A550" s="294"/>
      <c r="B550" s="294"/>
      <c r="D550" s="294"/>
    </row>
    <row r="551" spans="1:4" x14ac:dyDescent="0.3">
      <c r="A551" s="294"/>
      <c r="B551" s="294"/>
      <c r="D551" s="294"/>
    </row>
    <row r="552" spans="1:4" x14ac:dyDescent="0.3">
      <c r="A552" s="294"/>
      <c r="B552" s="294"/>
      <c r="D552" s="294"/>
    </row>
    <row r="553" spans="1:4" x14ac:dyDescent="0.3">
      <c r="A553" s="294"/>
      <c r="B553" s="294"/>
      <c r="D553" s="294"/>
    </row>
    <row r="554" spans="1:4" x14ac:dyDescent="0.3">
      <c r="A554" s="294"/>
      <c r="B554" s="294"/>
      <c r="D554" s="294"/>
    </row>
    <row r="555" spans="1:4" x14ac:dyDescent="0.3">
      <c r="A555" s="294"/>
      <c r="B555" s="294"/>
      <c r="D555" s="294"/>
    </row>
    <row r="556" spans="1:4" x14ac:dyDescent="0.3">
      <c r="A556" s="294"/>
      <c r="B556" s="294"/>
      <c r="D556" s="294"/>
    </row>
    <row r="557" spans="1:4" x14ac:dyDescent="0.3">
      <c r="A557" s="294"/>
      <c r="B557" s="294"/>
      <c r="D557" s="294"/>
    </row>
    <row r="558" spans="1:4" x14ac:dyDescent="0.3">
      <c r="A558" s="294"/>
      <c r="B558" s="294"/>
      <c r="D558" s="294"/>
    </row>
    <row r="559" spans="1:4" x14ac:dyDescent="0.3">
      <c r="A559" s="294"/>
      <c r="B559" s="294"/>
      <c r="D559" s="294"/>
    </row>
    <row r="560" spans="1:4" x14ac:dyDescent="0.3">
      <c r="A560" s="294"/>
      <c r="B560" s="294"/>
      <c r="D560" s="294"/>
    </row>
    <row r="561" spans="1:4" x14ac:dyDescent="0.3">
      <c r="A561" s="294"/>
      <c r="B561" s="294"/>
      <c r="D561" s="294"/>
    </row>
    <row r="562" spans="1:4" x14ac:dyDescent="0.3">
      <c r="A562" s="294"/>
      <c r="B562" s="294"/>
      <c r="D562" s="294"/>
    </row>
    <row r="563" spans="1:4" x14ac:dyDescent="0.3">
      <c r="A563" s="294"/>
      <c r="B563" s="294"/>
      <c r="D563" s="294"/>
    </row>
    <row r="564" spans="1:4" x14ac:dyDescent="0.3">
      <c r="A564" s="294"/>
      <c r="B564" s="294"/>
      <c r="D564" s="294"/>
    </row>
    <row r="565" spans="1:4" x14ac:dyDescent="0.3">
      <c r="A565" s="294"/>
      <c r="B565" s="294"/>
      <c r="D565" s="294"/>
    </row>
    <row r="566" spans="1:4" x14ac:dyDescent="0.3">
      <c r="A566" s="294"/>
      <c r="B566" s="294"/>
      <c r="D566" s="294"/>
    </row>
    <row r="567" spans="1:4" x14ac:dyDescent="0.3">
      <c r="A567" s="294"/>
      <c r="B567" s="294"/>
      <c r="D567" s="294"/>
    </row>
    <row r="568" spans="1:4" x14ac:dyDescent="0.3">
      <c r="A568" s="294"/>
      <c r="B568" s="294"/>
      <c r="D568" s="294"/>
    </row>
    <row r="569" spans="1:4" x14ac:dyDescent="0.3">
      <c r="A569" s="294"/>
      <c r="B569" s="294"/>
      <c r="D569" s="294"/>
    </row>
    <row r="570" spans="1:4" x14ac:dyDescent="0.3">
      <c r="A570" s="294"/>
      <c r="B570" s="294"/>
      <c r="D570" s="294"/>
    </row>
    <row r="571" spans="1:4" x14ac:dyDescent="0.3">
      <c r="A571" s="294"/>
      <c r="B571" s="294"/>
      <c r="D571" s="294"/>
    </row>
    <row r="572" spans="1:4" x14ac:dyDescent="0.3">
      <c r="A572" s="294"/>
      <c r="B572" s="294"/>
      <c r="D572" s="294"/>
    </row>
    <row r="573" spans="1:4" x14ac:dyDescent="0.3">
      <c r="A573" s="294"/>
      <c r="B573" s="294"/>
      <c r="D573" s="294"/>
    </row>
    <row r="574" spans="1:4" x14ac:dyDescent="0.3">
      <c r="A574" s="294"/>
      <c r="B574" s="294"/>
      <c r="D574" s="294"/>
    </row>
    <row r="575" spans="1:4" x14ac:dyDescent="0.3">
      <c r="A575" s="294"/>
      <c r="B575" s="294"/>
      <c r="D575" s="294"/>
    </row>
    <row r="576" spans="1:4" x14ac:dyDescent="0.3">
      <c r="A576" s="294"/>
      <c r="B576" s="294"/>
      <c r="D576" s="294"/>
    </row>
    <row r="577" spans="1:4" x14ac:dyDescent="0.3">
      <c r="A577" s="294"/>
      <c r="B577" s="294"/>
      <c r="D577" s="294"/>
    </row>
    <row r="578" spans="1:4" x14ac:dyDescent="0.3">
      <c r="A578" s="294"/>
      <c r="B578" s="294"/>
      <c r="D578" s="294"/>
    </row>
    <row r="579" spans="1:4" x14ac:dyDescent="0.3">
      <c r="A579" s="294"/>
      <c r="B579" s="294"/>
      <c r="D579" s="294"/>
    </row>
    <row r="580" spans="1:4" x14ac:dyDescent="0.3">
      <c r="A580" s="294"/>
      <c r="B580" s="294"/>
      <c r="D580" s="294"/>
    </row>
    <row r="581" spans="1:4" x14ac:dyDescent="0.3">
      <c r="A581" s="294"/>
      <c r="B581" s="294"/>
      <c r="D581" s="294"/>
    </row>
    <row r="582" spans="1:4" x14ac:dyDescent="0.3">
      <c r="A582" s="294"/>
      <c r="B582" s="294"/>
      <c r="D582" s="294"/>
    </row>
    <row r="583" spans="1:4" x14ac:dyDescent="0.3">
      <c r="A583" s="294"/>
      <c r="B583" s="294"/>
      <c r="D583" s="294"/>
    </row>
    <row r="584" spans="1:4" x14ac:dyDescent="0.3">
      <c r="A584" s="294"/>
      <c r="B584" s="294"/>
      <c r="D584" s="294"/>
    </row>
    <row r="585" spans="1:4" x14ac:dyDescent="0.3">
      <c r="A585" s="294"/>
      <c r="B585" s="294"/>
      <c r="D585" s="294"/>
    </row>
    <row r="586" spans="1:4" x14ac:dyDescent="0.3">
      <c r="A586" s="294"/>
      <c r="B586" s="294"/>
      <c r="D586" s="294"/>
    </row>
    <row r="587" spans="1:4" x14ac:dyDescent="0.3">
      <c r="A587" s="294"/>
      <c r="B587" s="294"/>
      <c r="D587" s="294"/>
    </row>
    <row r="588" spans="1:4" x14ac:dyDescent="0.3">
      <c r="A588" s="294"/>
      <c r="B588" s="294"/>
      <c r="D588" s="294"/>
    </row>
    <row r="589" spans="1:4" x14ac:dyDescent="0.3">
      <c r="A589" s="294"/>
      <c r="B589" s="294"/>
      <c r="D589" s="294"/>
    </row>
    <row r="590" spans="1:4" x14ac:dyDescent="0.3">
      <c r="A590" s="294"/>
      <c r="B590" s="294"/>
      <c r="D590" s="294"/>
    </row>
    <row r="591" spans="1:4" x14ac:dyDescent="0.3">
      <c r="A591" s="294"/>
      <c r="B591" s="294"/>
      <c r="D591" s="294"/>
    </row>
    <row r="592" spans="1:4" x14ac:dyDescent="0.3">
      <c r="A592" s="294"/>
      <c r="B592" s="294"/>
      <c r="D592" s="294"/>
    </row>
    <row r="593" spans="1:4" x14ac:dyDescent="0.3">
      <c r="A593" s="294"/>
      <c r="B593" s="294"/>
      <c r="D593" s="294"/>
    </row>
    <row r="594" spans="1:4" x14ac:dyDescent="0.3">
      <c r="A594" s="294"/>
      <c r="B594" s="294"/>
      <c r="D594" s="294"/>
    </row>
    <row r="595" spans="1:4" x14ac:dyDescent="0.3">
      <c r="A595" s="294"/>
      <c r="B595" s="294"/>
      <c r="D595" s="294"/>
    </row>
    <row r="596" spans="1:4" x14ac:dyDescent="0.3">
      <c r="A596" s="294"/>
      <c r="B596" s="294"/>
      <c r="D596" s="294"/>
    </row>
    <row r="597" spans="1:4" x14ac:dyDescent="0.3">
      <c r="A597" s="294"/>
      <c r="B597" s="294"/>
      <c r="D597" s="294"/>
    </row>
    <row r="598" spans="1:4" x14ac:dyDescent="0.3">
      <c r="A598" s="294"/>
      <c r="B598" s="294"/>
      <c r="D598" s="294"/>
    </row>
    <row r="599" spans="1:4" x14ac:dyDescent="0.3">
      <c r="A599" s="294"/>
      <c r="B599" s="294"/>
      <c r="D599" s="294"/>
    </row>
    <row r="600" spans="1:4" x14ac:dyDescent="0.3">
      <c r="A600" s="294"/>
      <c r="B600" s="294"/>
      <c r="D600" s="294"/>
    </row>
    <row r="601" spans="1:4" x14ac:dyDescent="0.3">
      <c r="A601" s="294"/>
      <c r="B601" s="294"/>
      <c r="D601" s="294"/>
    </row>
    <row r="602" spans="1:4" x14ac:dyDescent="0.3">
      <c r="A602" s="294"/>
      <c r="B602" s="294"/>
      <c r="D602" s="294"/>
    </row>
    <row r="603" spans="1:4" x14ac:dyDescent="0.3">
      <c r="A603" s="294"/>
      <c r="B603" s="294"/>
      <c r="D603" s="294"/>
    </row>
    <row r="604" spans="1:4" x14ac:dyDescent="0.3">
      <c r="A604" s="294"/>
      <c r="B604" s="294"/>
      <c r="D604" s="294"/>
    </row>
    <row r="605" spans="1:4" x14ac:dyDescent="0.3">
      <c r="A605" s="294"/>
      <c r="B605" s="294"/>
      <c r="D605" s="294"/>
    </row>
    <row r="606" spans="1:4" x14ac:dyDescent="0.3">
      <c r="A606" s="294"/>
      <c r="B606" s="294"/>
      <c r="D606" s="294"/>
    </row>
    <row r="607" spans="1:4" x14ac:dyDescent="0.3">
      <c r="A607" s="294"/>
      <c r="B607" s="294"/>
      <c r="D607" s="294"/>
    </row>
    <row r="608" spans="1:4" x14ac:dyDescent="0.3">
      <c r="A608" s="294"/>
      <c r="B608" s="294"/>
      <c r="D608" s="294"/>
    </row>
    <row r="609" spans="1:4" x14ac:dyDescent="0.3">
      <c r="A609" s="294"/>
      <c r="B609" s="294"/>
      <c r="D609" s="294"/>
    </row>
    <row r="610" spans="1:4" x14ac:dyDescent="0.3">
      <c r="A610" s="294"/>
      <c r="B610" s="294"/>
      <c r="D610" s="294"/>
    </row>
    <row r="611" spans="1:4" x14ac:dyDescent="0.3">
      <c r="A611" s="294"/>
      <c r="B611" s="294"/>
      <c r="D611" s="294"/>
    </row>
    <row r="612" spans="1:4" x14ac:dyDescent="0.3">
      <c r="A612" s="294"/>
      <c r="B612" s="294"/>
      <c r="D612" s="294"/>
    </row>
    <row r="613" spans="1:4" x14ac:dyDescent="0.3">
      <c r="A613" s="294"/>
      <c r="B613" s="294"/>
      <c r="D613" s="294"/>
    </row>
    <row r="614" spans="1:4" x14ac:dyDescent="0.3">
      <c r="A614" s="294"/>
      <c r="B614" s="294"/>
      <c r="D614" s="294"/>
    </row>
    <row r="615" spans="1:4" x14ac:dyDescent="0.3">
      <c r="A615" s="294"/>
      <c r="B615" s="294"/>
      <c r="D615" s="294"/>
    </row>
    <row r="616" spans="1:4" x14ac:dyDescent="0.3">
      <c r="A616" s="294"/>
      <c r="B616" s="294"/>
      <c r="D616" s="294"/>
    </row>
    <row r="617" spans="1:4" x14ac:dyDescent="0.3">
      <c r="A617" s="294"/>
      <c r="B617" s="294"/>
      <c r="D617" s="294"/>
    </row>
    <row r="618" spans="1:4" x14ac:dyDescent="0.3">
      <c r="A618" s="294"/>
      <c r="B618" s="294"/>
      <c r="D618" s="294"/>
    </row>
    <row r="619" spans="1:4" x14ac:dyDescent="0.3">
      <c r="A619" s="294"/>
      <c r="B619" s="294"/>
      <c r="D619" s="294"/>
    </row>
    <row r="620" spans="1:4" x14ac:dyDescent="0.3">
      <c r="A620" s="294"/>
      <c r="B620" s="294"/>
      <c r="D620" s="294"/>
    </row>
    <row r="621" spans="1:4" x14ac:dyDescent="0.3">
      <c r="A621" s="294"/>
      <c r="B621" s="294"/>
      <c r="D621" s="294"/>
    </row>
    <row r="622" spans="1:4" x14ac:dyDescent="0.3">
      <c r="A622" s="294"/>
      <c r="B622" s="294"/>
      <c r="D622" s="294"/>
    </row>
    <row r="623" spans="1:4" x14ac:dyDescent="0.3">
      <c r="A623" s="294"/>
      <c r="B623" s="294"/>
      <c r="D623" s="294"/>
    </row>
    <row r="624" spans="1:4" x14ac:dyDescent="0.3">
      <c r="A624" s="294"/>
      <c r="B624" s="294"/>
      <c r="D624" s="294"/>
    </row>
    <row r="625" spans="1:4" x14ac:dyDescent="0.3">
      <c r="A625" s="294"/>
      <c r="B625" s="294"/>
      <c r="D625" s="294"/>
    </row>
    <row r="626" spans="1:4" x14ac:dyDescent="0.3">
      <c r="A626" s="294"/>
      <c r="B626" s="294"/>
      <c r="D626" s="294"/>
    </row>
    <row r="627" spans="1:4" x14ac:dyDescent="0.3">
      <c r="A627" s="294"/>
      <c r="B627" s="294"/>
      <c r="D627" s="294"/>
    </row>
    <row r="628" spans="1:4" x14ac:dyDescent="0.3">
      <c r="A628" s="294"/>
      <c r="B628" s="294"/>
      <c r="D628" s="294"/>
    </row>
    <row r="629" spans="1:4" x14ac:dyDescent="0.3">
      <c r="A629" s="294"/>
      <c r="B629" s="294"/>
      <c r="D629" s="294"/>
    </row>
    <row r="630" spans="1:4" x14ac:dyDescent="0.3">
      <c r="A630" s="294"/>
      <c r="B630" s="294"/>
      <c r="D630" s="294"/>
    </row>
    <row r="631" spans="1:4" x14ac:dyDescent="0.3">
      <c r="A631" s="294"/>
      <c r="B631" s="294"/>
      <c r="D631" s="294"/>
    </row>
    <row r="632" spans="1:4" x14ac:dyDescent="0.3">
      <c r="A632" s="294"/>
      <c r="B632" s="294"/>
      <c r="D632" s="294"/>
    </row>
    <row r="633" spans="1:4" x14ac:dyDescent="0.3">
      <c r="A633" s="294"/>
      <c r="B633" s="294"/>
      <c r="D633" s="294"/>
    </row>
    <row r="634" spans="1:4" x14ac:dyDescent="0.3">
      <c r="A634" s="294"/>
      <c r="B634" s="294"/>
      <c r="D634" s="294"/>
    </row>
    <row r="635" spans="1:4" x14ac:dyDescent="0.3">
      <c r="A635" s="294"/>
      <c r="B635" s="294"/>
      <c r="D635" s="294"/>
    </row>
    <row r="636" spans="1:4" x14ac:dyDescent="0.3">
      <c r="A636" s="294"/>
      <c r="B636" s="294"/>
      <c r="D636" s="294"/>
    </row>
    <row r="637" spans="1:4" x14ac:dyDescent="0.3">
      <c r="A637" s="294"/>
      <c r="B637" s="294"/>
      <c r="D637" s="294"/>
    </row>
    <row r="638" spans="1:4" x14ac:dyDescent="0.3">
      <c r="A638" s="294"/>
      <c r="B638" s="294"/>
      <c r="D638" s="294"/>
    </row>
    <row r="639" spans="1:4" x14ac:dyDescent="0.3">
      <c r="A639" s="294"/>
      <c r="B639" s="294"/>
      <c r="D639" s="294"/>
    </row>
    <row r="640" spans="1:4" x14ac:dyDescent="0.3">
      <c r="A640" s="294"/>
      <c r="B640" s="294"/>
      <c r="D640" s="294"/>
    </row>
    <row r="641" spans="1:4" x14ac:dyDescent="0.3">
      <c r="A641" s="294"/>
      <c r="B641" s="294"/>
      <c r="D641" s="294"/>
    </row>
    <row r="642" spans="1:4" x14ac:dyDescent="0.3">
      <c r="A642" s="294"/>
      <c r="B642" s="294"/>
      <c r="D642" s="294"/>
    </row>
    <row r="643" spans="1:4" x14ac:dyDescent="0.3">
      <c r="A643" s="294"/>
      <c r="B643" s="294"/>
      <c r="D643" s="294"/>
    </row>
    <row r="644" spans="1:4" x14ac:dyDescent="0.3">
      <c r="A644" s="294"/>
      <c r="B644" s="294"/>
      <c r="D644" s="294"/>
    </row>
    <row r="645" spans="1:4" x14ac:dyDescent="0.3">
      <c r="A645" s="294"/>
      <c r="B645" s="294"/>
      <c r="D645" s="294"/>
    </row>
    <row r="646" spans="1:4" x14ac:dyDescent="0.3">
      <c r="A646" s="294"/>
      <c r="B646" s="294"/>
      <c r="D646" s="294"/>
    </row>
    <row r="647" spans="1:4" x14ac:dyDescent="0.3">
      <c r="A647" s="294"/>
      <c r="B647" s="294"/>
      <c r="D647" s="294"/>
    </row>
    <row r="648" spans="1:4" x14ac:dyDescent="0.3">
      <c r="A648" s="294"/>
      <c r="B648" s="294"/>
      <c r="D648" s="294"/>
    </row>
    <row r="649" spans="1:4" x14ac:dyDescent="0.3">
      <c r="A649" s="294"/>
      <c r="B649" s="294"/>
      <c r="D649" s="294"/>
    </row>
    <row r="650" spans="1:4" x14ac:dyDescent="0.3">
      <c r="A650" s="294"/>
      <c r="B650" s="294"/>
      <c r="D650" s="294"/>
    </row>
    <row r="651" spans="1:4" x14ac:dyDescent="0.3">
      <c r="A651" s="294"/>
      <c r="B651" s="294"/>
      <c r="D651" s="294"/>
    </row>
    <row r="652" spans="1:4" x14ac:dyDescent="0.3">
      <c r="A652" s="294"/>
      <c r="B652" s="294"/>
      <c r="D652" s="294"/>
    </row>
    <row r="653" spans="1:4" x14ac:dyDescent="0.3">
      <c r="A653" s="294"/>
      <c r="B653" s="294"/>
      <c r="D653" s="294"/>
    </row>
    <row r="654" spans="1:4" x14ac:dyDescent="0.3">
      <c r="A654" s="294"/>
      <c r="B654" s="294"/>
      <c r="D654" s="294"/>
    </row>
    <row r="655" spans="1:4" x14ac:dyDescent="0.3">
      <c r="A655" s="294"/>
      <c r="B655" s="294"/>
      <c r="D655" s="294"/>
    </row>
    <row r="656" spans="1:4" x14ac:dyDescent="0.3">
      <c r="A656" s="294"/>
      <c r="B656" s="294"/>
      <c r="D656" s="294"/>
    </row>
    <row r="657" spans="1:4" x14ac:dyDescent="0.3">
      <c r="A657" s="294"/>
      <c r="B657" s="294"/>
      <c r="D657" s="294"/>
    </row>
    <row r="658" spans="1:4" x14ac:dyDescent="0.3">
      <c r="A658" s="294"/>
      <c r="B658" s="294"/>
      <c r="D658" s="294"/>
    </row>
    <row r="659" spans="1:4" x14ac:dyDescent="0.3">
      <c r="A659" s="294"/>
      <c r="B659" s="294"/>
      <c r="D659" s="294"/>
    </row>
    <row r="660" spans="1:4" x14ac:dyDescent="0.3">
      <c r="A660" s="294"/>
      <c r="B660" s="294"/>
      <c r="D660" s="294"/>
    </row>
    <row r="661" spans="1:4" x14ac:dyDescent="0.3">
      <c r="A661" s="294"/>
      <c r="B661" s="294"/>
      <c r="D661" s="294"/>
    </row>
    <row r="662" spans="1:4" x14ac:dyDescent="0.3">
      <c r="A662" s="294"/>
      <c r="B662" s="294"/>
      <c r="D662" s="294"/>
    </row>
    <row r="663" spans="1:4" x14ac:dyDescent="0.3">
      <c r="A663" s="294"/>
      <c r="B663" s="294"/>
      <c r="D663" s="294"/>
    </row>
    <row r="664" spans="1:4" x14ac:dyDescent="0.3">
      <c r="A664" s="294"/>
      <c r="B664" s="294"/>
      <c r="D664" s="294"/>
    </row>
    <row r="665" spans="1:4" x14ac:dyDescent="0.3">
      <c r="A665" s="294"/>
      <c r="B665" s="294"/>
      <c r="D665" s="294"/>
    </row>
    <row r="666" spans="1:4" x14ac:dyDescent="0.3">
      <c r="A666" s="294"/>
      <c r="B666" s="294"/>
      <c r="D666" s="294"/>
    </row>
    <row r="667" spans="1:4" x14ac:dyDescent="0.3">
      <c r="A667" s="294"/>
      <c r="B667" s="294"/>
      <c r="D667" s="294"/>
    </row>
    <row r="668" spans="1:4" x14ac:dyDescent="0.3">
      <c r="A668" s="294"/>
      <c r="B668" s="294"/>
      <c r="D668" s="294"/>
    </row>
    <row r="669" spans="1:4" x14ac:dyDescent="0.3">
      <c r="A669" s="294"/>
      <c r="B669" s="294"/>
      <c r="D669" s="294"/>
    </row>
    <row r="670" spans="1:4" x14ac:dyDescent="0.3">
      <c r="A670" s="294"/>
      <c r="B670" s="294"/>
      <c r="D670" s="294"/>
    </row>
    <row r="671" spans="1:4" x14ac:dyDescent="0.3">
      <c r="A671" s="294"/>
      <c r="B671" s="294"/>
      <c r="D671" s="294"/>
    </row>
    <row r="672" spans="1:4" x14ac:dyDescent="0.3">
      <c r="A672" s="294"/>
      <c r="B672" s="294"/>
      <c r="D672" s="294"/>
    </row>
    <row r="673" spans="1:4" x14ac:dyDescent="0.3">
      <c r="A673" s="294"/>
      <c r="B673" s="294"/>
      <c r="D673" s="294"/>
    </row>
    <row r="674" spans="1:4" x14ac:dyDescent="0.3">
      <c r="A674" s="294"/>
      <c r="B674" s="294"/>
      <c r="D674" s="294"/>
    </row>
    <row r="675" spans="1:4" x14ac:dyDescent="0.3">
      <c r="A675" s="294"/>
      <c r="B675" s="294"/>
      <c r="D675" s="294"/>
    </row>
    <row r="676" spans="1:4" x14ac:dyDescent="0.3">
      <c r="A676" s="294"/>
      <c r="B676" s="294"/>
      <c r="D676" s="294"/>
    </row>
    <row r="677" spans="1:4" x14ac:dyDescent="0.3">
      <c r="A677" s="294"/>
      <c r="B677" s="294"/>
      <c r="D677" s="294"/>
    </row>
    <row r="678" spans="1:4" x14ac:dyDescent="0.3">
      <c r="A678" s="294"/>
      <c r="B678" s="294"/>
      <c r="D678" s="294"/>
    </row>
    <row r="679" spans="1:4" x14ac:dyDescent="0.3">
      <c r="A679" s="294"/>
      <c r="B679" s="294"/>
      <c r="D679" s="294"/>
    </row>
    <row r="680" spans="1:4" x14ac:dyDescent="0.3">
      <c r="A680" s="294"/>
      <c r="B680" s="294"/>
      <c r="D680" s="294"/>
    </row>
    <row r="681" spans="1:4" x14ac:dyDescent="0.3">
      <c r="A681" s="294"/>
      <c r="B681" s="294"/>
      <c r="D681" s="294"/>
    </row>
    <row r="682" spans="1:4" x14ac:dyDescent="0.3">
      <c r="A682" s="294"/>
      <c r="B682" s="294"/>
      <c r="D682" s="294"/>
    </row>
    <row r="683" spans="1:4" x14ac:dyDescent="0.3">
      <c r="A683" s="294"/>
      <c r="B683" s="294"/>
      <c r="D683" s="294"/>
    </row>
    <row r="684" spans="1:4" x14ac:dyDescent="0.3">
      <c r="A684" s="294"/>
      <c r="B684" s="294"/>
      <c r="D684" s="294"/>
    </row>
    <row r="685" spans="1:4" x14ac:dyDescent="0.3">
      <c r="A685" s="294"/>
      <c r="B685" s="294"/>
      <c r="D685" s="294"/>
    </row>
    <row r="686" spans="1:4" x14ac:dyDescent="0.3">
      <c r="A686" s="294"/>
      <c r="B686" s="294"/>
      <c r="D686" s="294"/>
    </row>
    <row r="687" spans="1:4" x14ac:dyDescent="0.3">
      <c r="A687" s="294"/>
      <c r="B687" s="294"/>
      <c r="D687" s="294"/>
    </row>
    <row r="688" spans="1:4" x14ac:dyDescent="0.3">
      <c r="A688" s="294"/>
      <c r="B688" s="294"/>
      <c r="D688" s="294"/>
    </row>
    <row r="689" spans="1:4" x14ac:dyDescent="0.3">
      <c r="A689" s="294"/>
      <c r="B689" s="294"/>
      <c r="D689" s="294"/>
    </row>
    <row r="690" spans="1:4" x14ac:dyDescent="0.3">
      <c r="A690" s="294"/>
      <c r="B690" s="294"/>
      <c r="D690" s="294"/>
    </row>
    <row r="691" spans="1:4" x14ac:dyDescent="0.3">
      <c r="A691" s="294"/>
      <c r="B691" s="294"/>
      <c r="D691" s="294"/>
    </row>
    <row r="692" spans="1:4" x14ac:dyDescent="0.3">
      <c r="A692" s="294"/>
      <c r="B692" s="294"/>
      <c r="D692" s="294"/>
    </row>
    <row r="693" spans="1:4" x14ac:dyDescent="0.3">
      <c r="A693" s="294"/>
      <c r="B693" s="294"/>
      <c r="D693" s="294"/>
    </row>
    <row r="694" spans="1:4" x14ac:dyDescent="0.3">
      <c r="A694" s="294"/>
      <c r="B694" s="294"/>
      <c r="D694" s="294"/>
    </row>
    <row r="695" spans="1:4" x14ac:dyDescent="0.3">
      <c r="A695" s="294"/>
      <c r="B695" s="294"/>
      <c r="D695" s="294"/>
    </row>
    <row r="696" spans="1:4" x14ac:dyDescent="0.3">
      <c r="A696" s="294"/>
      <c r="B696" s="294"/>
      <c r="D696" s="294"/>
    </row>
    <row r="697" spans="1:4" x14ac:dyDescent="0.3">
      <c r="A697" s="294"/>
      <c r="B697" s="294"/>
      <c r="D697" s="294"/>
    </row>
    <row r="698" spans="1:4" x14ac:dyDescent="0.3">
      <c r="A698" s="294"/>
      <c r="B698" s="294"/>
      <c r="D698" s="294"/>
    </row>
    <row r="699" spans="1:4" x14ac:dyDescent="0.3">
      <c r="A699" s="294"/>
      <c r="B699" s="294"/>
      <c r="D699" s="294"/>
    </row>
    <row r="700" spans="1:4" x14ac:dyDescent="0.3">
      <c r="A700" s="294"/>
      <c r="B700" s="294"/>
      <c r="D700" s="294"/>
    </row>
    <row r="701" spans="1:4" x14ac:dyDescent="0.3">
      <c r="A701" s="294"/>
      <c r="B701" s="294"/>
      <c r="D701" s="294"/>
    </row>
    <row r="702" spans="1:4" x14ac:dyDescent="0.3">
      <c r="A702" s="294"/>
      <c r="B702" s="294"/>
      <c r="D702" s="294"/>
    </row>
    <row r="703" spans="1:4" x14ac:dyDescent="0.3">
      <c r="A703" s="294"/>
      <c r="B703" s="294"/>
      <c r="D703" s="294"/>
    </row>
    <row r="704" spans="1:4" x14ac:dyDescent="0.3">
      <c r="A704" s="294"/>
      <c r="B704" s="294"/>
      <c r="D704" s="294"/>
    </row>
    <row r="705" spans="1:4" x14ac:dyDescent="0.3">
      <c r="A705" s="294"/>
      <c r="B705" s="294"/>
      <c r="D705" s="294"/>
    </row>
    <row r="706" spans="1:4" x14ac:dyDescent="0.3">
      <c r="A706" s="294"/>
      <c r="B706" s="294"/>
      <c r="D706" s="294"/>
    </row>
    <row r="707" spans="1:4" x14ac:dyDescent="0.3">
      <c r="A707" s="294"/>
      <c r="B707" s="294"/>
      <c r="D707" s="294"/>
    </row>
    <row r="708" spans="1:4" x14ac:dyDescent="0.3">
      <c r="A708" s="294"/>
      <c r="B708" s="294"/>
      <c r="D708" s="294"/>
    </row>
    <row r="709" spans="1:4" x14ac:dyDescent="0.3">
      <c r="A709" s="294"/>
      <c r="B709" s="294"/>
      <c r="D709" s="294"/>
    </row>
    <row r="710" spans="1:4" x14ac:dyDescent="0.3">
      <c r="A710" s="294"/>
      <c r="B710" s="294"/>
      <c r="D710" s="294"/>
    </row>
    <row r="711" spans="1:4" x14ac:dyDescent="0.3">
      <c r="A711" s="294"/>
      <c r="B711" s="294"/>
      <c r="D711" s="294"/>
    </row>
    <row r="712" spans="1:4" x14ac:dyDescent="0.3">
      <c r="A712" s="294"/>
      <c r="B712" s="294"/>
      <c r="D712" s="294"/>
    </row>
    <row r="713" spans="1:4" x14ac:dyDescent="0.3">
      <c r="A713" s="294"/>
      <c r="B713" s="294"/>
      <c r="D713" s="294"/>
    </row>
    <row r="714" spans="1:4" x14ac:dyDescent="0.3">
      <c r="A714" s="294"/>
      <c r="B714" s="294"/>
      <c r="D714" s="294"/>
    </row>
    <row r="715" spans="1:4" x14ac:dyDescent="0.3">
      <c r="A715" s="294"/>
      <c r="B715" s="294"/>
      <c r="D715" s="294"/>
    </row>
    <row r="716" spans="1:4" x14ac:dyDescent="0.3">
      <c r="A716" s="294"/>
      <c r="B716" s="294"/>
      <c r="D716" s="294"/>
    </row>
    <row r="717" spans="1:4" x14ac:dyDescent="0.3">
      <c r="A717" s="294"/>
      <c r="B717" s="294"/>
      <c r="D717" s="294"/>
    </row>
    <row r="718" spans="1:4" x14ac:dyDescent="0.3">
      <c r="A718" s="294"/>
      <c r="B718" s="294"/>
      <c r="D718" s="294"/>
    </row>
    <row r="719" spans="1:4" x14ac:dyDescent="0.3">
      <c r="A719" s="294"/>
      <c r="B719" s="294"/>
      <c r="D719" s="294"/>
    </row>
    <row r="720" spans="1:4" x14ac:dyDescent="0.3">
      <c r="A720" s="294"/>
      <c r="B720" s="294"/>
      <c r="D720" s="294"/>
    </row>
    <row r="721" spans="1:4" x14ac:dyDescent="0.3">
      <c r="A721" s="294"/>
      <c r="B721" s="294"/>
      <c r="D721" s="294"/>
    </row>
    <row r="722" spans="1:4" x14ac:dyDescent="0.3">
      <c r="A722" s="294"/>
      <c r="B722" s="294"/>
      <c r="D722" s="294"/>
    </row>
    <row r="723" spans="1:4" x14ac:dyDescent="0.3">
      <c r="A723" s="294"/>
      <c r="B723" s="294"/>
      <c r="D723" s="294"/>
    </row>
    <row r="724" spans="1:4" x14ac:dyDescent="0.3">
      <c r="A724" s="294"/>
      <c r="B724" s="294"/>
      <c r="D724" s="294"/>
    </row>
    <row r="725" spans="1:4" x14ac:dyDescent="0.3">
      <c r="A725" s="294"/>
      <c r="B725" s="294"/>
      <c r="D725" s="294"/>
    </row>
    <row r="726" spans="1:4" x14ac:dyDescent="0.3">
      <c r="A726" s="294"/>
      <c r="B726" s="294"/>
      <c r="D726" s="294"/>
    </row>
    <row r="727" spans="1:4" x14ac:dyDescent="0.3">
      <c r="A727" s="294"/>
      <c r="B727" s="294"/>
      <c r="D727" s="294"/>
    </row>
    <row r="728" spans="1:4" x14ac:dyDescent="0.3">
      <c r="A728" s="294"/>
      <c r="B728" s="294"/>
      <c r="D728" s="294"/>
    </row>
    <row r="729" spans="1:4" x14ac:dyDescent="0.3">
      <c r="A729" s="294"/>
      <c r="B729" s="294"/>
      <c r="D729" s="294"/>
    </row>
    <row r="730" spans="1:4" x14ac:dyDescent="0.3">
      <c r="A730" s="294"/>
      <c r="B730" s="294"/>
      <c r="D730" s="294"/>
    </row>
    <row r="731" spans="1:4" x14ac:dyDescent="0.3">
      <c r="A731" s="294"/>
      <c r="B731" s="294"/>
      <c r="D731" s="294"/>
    </row>
    <row r="732" spans="1:4" x14ac:dyDescent="0.3">
      <c r="A732" s="294"/>
      <c r="B732" s="294"/>
      <c r="D732" s="294"/>
    </row>
    <row r="733" spans="1:4" x14ac:dyDescent="0.3">
      <c r="A733" s="294"/>
      <c r="B733" s="294"/>
      <c r="D733" s="294"/>
    </row>
    <row r="734" spans="1:4" x14ac:dyDescent="0.3">
      <c r="A734" s="294"/>
      <c r="B734" s="294"/>
      <c r="D734" s="294"/>
    </row>
    <row r="735" spans="1:4" x14ac:dyDescent="0.3">
      <c r="A735" s="294"/>
      <c r="B735" s="294"/>
      <c r="D735" s="294"/>
    </row>
    <row r="736" spans="1:4" x14ac:dyDescent="0.3">
      <c r="A736" s="294"/>
      <c r="B736" s="294"/>
      <c r="D736" s="294"/>
    </row>
    <row r="737" spans="1:4" x14ac:dyDescent="0.3">
      <c r="A737" s="294"/>
      <c r="B737" s="294"/>
      <c r="D737" s="294"/>
    </row>
    <row r="738" spans="1:4" x14ac:dyDescent="0.3">
      <c r="A738" s="294"/>
      <c r="B738" s="294"/>
      <c r="D738" s="294"/>
    </row>
    <row r="739" spans="1:4" x14ac:dyDescent="0.3">
      <c r="A739" s="294"/>
      <c r="B739" s="294"/>
      <c r="D739" s="294"/>
    </row>
    <row r="740" spans="1:4" x14ac:dyDescent="0.3">
      <c r="A740" s="294"/>
      <c r="B740" s="294"/>
      <c r="D740" s="294"/>
    </row>
    <row r="741" spans="1:4" x14ac:dyDescent="0.3">
      <c r="A741" s="294"/>
      <c r="B741" s="294"/>
      <c r="D741" s="294"/>
    </row>
    <row r="742" spans="1:4" x14ac:dyDescent="0.3">
      <c r="A742" s="294"/>
      <c r="B742" s="294"/>
      <c r="D742" s="294"/>
    </row>
    <row r="743" spans="1:4" x14ac:dyDescent="0.3">
      <c r="A743" s="294"/>
      <c r="B743" s="294"/>
      <c r="D743" s="294"/>
    </row>
    <row r="744" spans="1:4" x14ac:dyDescent="0.3">
      <c r="A744" s="294"/>
      <c r="B744" s="294"/>
      <c r="D744" s="294"/>
    </row>
    <row r="745" spans="1:4" x14ac:dyDescent="0.3">
      <c r="A745" s="294"/>
      <c r="B745" s="294"/>
      <c r="D745" s="294"/>
    </row>
    <row r="746" spans="1:4" x14ac:dyDescent="0.3">
      <c r="A746" s="294"/>
      <c r="B746" s="294"/>
      <c r="D746" s="294"/>
    </row>
    <row r="747" spans="1:4" x14ac:dyDescent="0.3">
      <c r="A747" s="294"/>
      <c r="B747" s="294"/>
      <c r="D747" s="294"/>
    </row>
    <row r="748" spans="1:4" x14ac:dyDescent="0.3">
      <c r="A748" s="294"/>
      <c r="B748" s="294"/>
      <c r="D748" s="294"/>
    </row>
    <row r="749" spans="1:4" x14ac:dyDescent="0.3">
      <c r="A749" s="294"/>
      <c r="B749" s="294"/>
      <c r="D749" s="294"/>
    </row>
    <row r="750" spans="1:4" x14ac:dyDescent="0.3">
      <c r="A750" s="294"/>
      <c r="B750" s="294"/>
      <c r="D750" s="294"/>
    </row>
    <row r="751" spans="1:4" x14ac:dyDescent="0.3">
      <c r="A751" s="294"/>
      <c r="B751" s="294"/>
      <c r="D751" s="294"/>
    </row>
    <row r="752" spans="1:4" x14ac:dyDescent="0.3">
      <c r="A752" s="294"/>
      <c r="B752" s="294"/>
      <c r="D752" s="294"/>
    </row>
    <row r="753" spans="1:4" x14ac:dyDescent="0.3">
      <c r="A753" s="294"/>
      <c r="B753" s="294"/>
      <c r="D753" s="294"/>
    </row>
    <row r="754" spans="1:4" x14ac:dyDescent="0.3">
      <c r="A754" s="294"/>
      <c r="B754" s="294"/>
      <c r="D754" s="294"/>
    </row>
    <row r="755" spans="1:4" x14ac:dyDescent="0.3">
      <c r="A755" s="294"/>
      <c r="B755" s="294"/>
      <c r="D755" s="294"/>
    </row>
    <row r="756" spans="1:4" x14ac:dyDescent="0.3">
      <c r="A756" s="294"/>
      <c r="B756" s="294"/>
      <c r="D756" s="294"/>
    </row>
    <row r="757" spans="1:4" x14ac:dyDescent="0.3">
      <c r="A757" s="294"/>
      <c r="B757" s="294"/>
      <c r="D757" s="294"/>
    </row>
    <row r="758" spans="1:4" x14ac:dyDescent="0.3">
      <c r="A758" s="294"/>
      <c r="B758" s="294"/>
      <c r="D758" s="294"/>
    </row>
    <row r="759" spans="1:4" x14ac:dyDescent="0.3">
      <c r="A759" s="294"/>
      <c r="B759" s="294"/>
      <c r="D759" s="294"/>
    </row>
    <row r="760" spans="1:4" x14ac:dyDescent="0.3">
      <c r="A760" s="294"/>
      <c r="B760" s="294"/>
      <c r="D760" s="294"/>
    </row>
    <row r="761" spans="1:4" x14ac:dyDescent="0.3">
      <c r="A761" s="294"/>
      <c r="B761" s="294"/>
      <c r="D761" s="294"/>
    </row>
    <row r="762" spans="1:4" x14ac:dyDescent="0.3">
      <c r="A762" s="294"/>
      <c r="B762" s="294"/>
      <c r="D762" s="294"/>
    </row>
    <row r="763" spans="1:4" x14ac:dyDescent="0.3">
      <c r="A763" s="294"/>
      <c r="B763" s="294"/>
      <c r="D763" s="294"/>
    </row>
    <row r="764" spans="1:4" x14ac:dyDescent="0.3">
      <c r="A764" s="294"/>
      <c r="B764" s="294"/>
      <c r="D764" s="294"/>
    </row>
    <row r="765" spans="1:4" x14ac:dyDescent="0.3">
      <c r="A765" s="294"/>
      <c r="B765" s="294"/>
      <c r="D765" s="294"/>
    </row>
    <row r="766" spans="1:4" x14ac:dyDescent="0.3">
      <c r="A766" s="294"/>
      <c r="B766" s="294"/>
      <c r="D766" s="294"/>
    </row>
    <row r="767" spans="1:4" x14ac:dyDescent="0.3">
      <c r="A767" s="294"/>
      <c r="B767" s="294"/>
      <c r="D767" s="294"/>
    </row>
    <row r="768" spans="1:4" x14ac:dyDescent="0.3">
      <c r="A768" s="294"/>
      <c r="B768" s="294"/>
      <c r="D768" s="294"/>
    </row>
    <row r="769" spans="1:4" x14ac:dyDescent="0.3">
      <c r="A769" s="294"/>
      <c r="B769" s="294"/>
      <c r="D769" s="294"/>
    </row>
    <row r="770" spans="1:4" x14ac:dyDescent="0.3">
      <c r="A770" s="294"/>
      <c r="B770" s="294"/>
      <c r="D770" s="294"/>
    </row>
    <row r="771" spans="1:4" x14ac:dyDescent="0.3">
      <c r="A771" s="294"/>
      <c r="B771" s="294"/>
      <c r="D771" s="294"/>
    </row>
    <row r="772" spans="1:4" x14ac:dyDescent="0.3">
      <c r="A772" s="294"/>
      <c r="B772" s="294"/>
      <c r="D772" s="294"/>
    </row>
    <row r="773" spans="1:4" x14ac:dyDescent="0.3">
      <c r="A773" s="294"/>
      <c r="B773" s="294"/>
      <c r="D773" s="294"/>
    </row>
    <row r="774" spans="1:4" x14ac:dyDescent="0.3">
      <c r="A774" s="294"/>
      <c r="B774" s="294"/>
      <c r="D774" s="294"/>
    </row>
    <row r="775" spans="1:4" x14ac:dyDescent="0.3">
      <c r="A775" s="294"/>
      <c r="B775" s="294"/>
      <c r="D775" s="294"/>
    </row>
    <row r="776" spans="1:4" x14ac:dyDescent="0.3">
      <c r="A776" s="294"/>
      <c r="B776" s="294"/>
      <c r="D776" s="294"/>
    </row>
    <row r="777" spans="1:4" x14ac:dyDescent="0.3">
      <c r="A777" s="294"/>
      <c r="B777" s="294"/>
      <c r="D777" s="294"/>
    </row>
    <row r="778" spans="1:4" x14ac:dyDescent="0.3">
      <c r="A778" s="294"/>
      <c r="B778" s="294"/>
      <c r="D778" s="294"/>
    </row>
    <row r="779" spans="1:4" x14ac:dyDescent="0.3">
      <c r="A779" s="294"/>
      <c r="B779" s="294"/>
      <c r="D779" s="294"/>
    </row>
    <row r="780" spans="1:4" x14ac:dyDescent="0.3">
      <c r="A780" s="294"/>
      <c r="B780" s="294"/>
      <c r="D780" s="294"/>
    </row>
    <row r="781" spans="1:4" x14ac:dyDescent="0.3">
      <c r="A781" s="294"/>
      <c r="B781" s="294"/>
      <c r="D781" s="294"/>
    </row>
    <row r="782" spans="1:4" x14ac:dyDescent="0.3">
      <c r="A782" s="294"/>
      <c r="B782" s="294"/>
      <c r="D782" s="294"/>
    </row>
    <row r="783" spans="1:4" x14ac:dyDescent="0.3">
      <c r="A783" s="294"/>
      <c r="B783" s="294"/>
      <c r="D783" s="294"/>
    </row>
    <row r="784" spans="1:4" x14ac:dyDescent="0.3">
      <c r="A784" s="294"/>
      <c r="B784" s="294"/>
      <c r="D784" s="294"/>
    </row>
    <row r="785" spans="1:4" x14ac:dyDescent="0.3">
      <c r="A785" s="294"/>
      <c r="B785" s="294"/>
      <c r="D785" s="294"/>
    </row>
    <row r="786" spans="1:4" x14ac:dyDescent="0.3">
      <c r="A786" s="294"/>
      <c r="B786" s="294"/>
      <c r="D786" s="294"/>
    </row>
    <row r="787" spans="1:4" x14ac:dyDescent="0.3">
      <c r="A787" s="294"/>
      <c r="B787" s="294"/>
      <c r="D787" s="294"/>
    </row>
    <row r="788" spans="1:4" x14ac:dyDescent="0.3">
      <c r="A788" s="294"/>
      <c r="B788" s="294"/>
      <c r="D788" s="294"/>
    </row>
    <row r="789" spans="1:4" x14ac:dyDescent="0.3">
      <c r="A789" s="294"/>
      <c r="B789" s="294"/>
      <c r="D789" s="294"/>
    </row>
    <row r="790" spans="1:4" x14ac:dyDescent="0.3">
      <c r="A790" s="294"/>
      <c r="B790" s="294"/>
      <c r="D790" s="294"/>
    </row>
    <row r="791" spans="1:4" x14ac:dyDescent="0.3">
      <c r="A791" s="294"/>
      <c r="B791" s="294"/>
      <c r="D791" s="294"/>
    </row>
    <row r="792" spans="1:4" x14ac:dyDescent="0.3">
      <c r="A792" s="294"/>
      <c r="B792" s="294"/>
      <c r="D792" s="294"/>
    </row>
    <row r="793" spans="1:4" x14ac:dyDescent="0.3">
      <c r="A793" s="294"/>
      <c r="B793" s="294"/>
      <c r="D793" s="294"/>
    </row>
    <row r="794" spans="1:4" x14ac:dyDescent="0.3">
      <c r="A794" s="294"/>
      <c r="B794" s="294"/>
      <c r="D794" s="294"/>
    </row>
    <row r="795" spans="1:4" x14ac:dyDescent="0.3">
      <c r="A795" s="294"/>
      <c r="B795" s="294"/>
      <c r="D795" s="294"/>
    </row>
    <row r="796" spans="1:4" x14ac:dyDescent="0.3">
      <c r="A796" s="294"/>
      <c r="B796" s="294"/>
      <c r="D796" s="294"/>
    </row>
    <row r="797" spans="1:4" x14ac:dyDescent="0.3">
      <c r="A797" s="294"/>
      <c r="B797" s="294"/>
      <c r="D797" s="294"/>
    </row>
    <row r="798" spans="1:4" x14ac:dyDescent="0.3">
      <c r="A798" s="294"/>
      <c r="B798" s="294"/>
      <c r="D798" s="294"/>
    </row>
    <row r="799" spans="1:4" x14ac:dyDescent="0.3">
      <c r="A799" s="294"/>
      <c r="B799" s="294"/>
      <c r="D799" s="294"/>
    </row>
    <row r="800" spans="1:4" x14ac:dyDescent="0.3">
      <c r="A800" s="294"/>
      <c r="B800" s="294"/>
      <c r="D800" s="294"/>
    </row>
    <row r="801" spans="1:4" x14ac:dyDescent="0.3">
      <c r="A801" s="294"/>
      <c r="B801" s="294"/>
      <c r="D801" s="294"/>
    </row>
    <row r="802" spans="1:4" x14ac:dyDescent="0.3">
      <c r="A802" s="294"/>
      <c r="B802" s="294"/>
      <c r="D802" s="294"/>
    </row>
    <row r="803" spans="1:4" x14ac:dyDescent="0.3">
      <c r="A803" s="294"/>
      <c r="B803" s="294"/>
      <c r="D803" s="294"/>
    </row>
    <row r="804" spans="1:4" x14ac:dyDescent="0.3">
      <c r="A804" s="294"/>
      <c r="B804" s="294"/>
      <c r="D804" s="294"/>
    </row>
    <row r="805" spans="1:4" x14ac:dyDescent="0.3">
      <c r="A805" s="294"/>
      <c r="B805" s="294"/>
      <c r="D805" s="294"/>
    </row>
    <row r="806" spans="1:4" x14ac:dyDescent="0.3">
      <c r="A806" s="294"/>
      <c r="B806" s="294"/>
      <c r="D806" s="294"/>
    </row>
    <row r="807" spans="1:4" x14ac:dyDescent="0.3">
      <c r="A807" s="294"/>
      <c r="B807" s="294"/>
      <c r="D807" s="294"/>
    </row>
    <row r="808" spans="1:4" x14ac:dyDescent="0.3">
      <c r="A808" s="294"/>
      <c r="B808" s="294"/>
      <c r="D808" s="294"/>
    </row>
    <row r="809" spans="1:4" x14ac:dyDescent="0.3">
      <c r="A809" s="294"/>
      <c r="B809" s="294"/>
      <c r="D809" s="294"/>
    </row>
    <row r="810" spans="1:4" x14ac:dyDescent="0.3">
      <c r="A810" s="294"/>
      <c r="B810" s="294"/>
      <c r="D810" s="294"/>
    </row>
    <row r="811" spans="1:4" x14ac:dyDescent="0.3">
      <c r="A811" s="294"/>
      <c r="B811" s="294"/>
      <c r="D811" s="294"/>
    </row>
    <row r="812" spans="1:4" x14ac:dyDescent="0.3">
      <c r="A812" s="294"/>
      <c r="B812" s="294"/>
      <c r="D812" s="294"/>
    </row>
    <row r="813" spans="1:4" x14ac:dyDescent="0.3">
      <c r="A813" s="294"/>
      <c r="B813" s="294"/>
      <c r="D813" s="294"/>
    </row>
    <row r="814" spans="1:4" x14ac:dyDescent="0.3">
      <c r="A814" s="294"/>
      <c r="B814" s="294"/>
      <c r="D814" s="294"/>
    </row>
    <row r="815" spans="1:4" x14ac:dyDescent="0.3">
      <c r="A815" s="294"/>
      <c r="B815" s="294"/>
      <c r="D815" s="294"/>
    </row>
    <row r="816" spans="1:4" x14ac:dyDescent="0.3">
      <c r="A816" s="294"/>
      <c r="B816" s="294"/>
      <c r="D816" s="294"/>
    </row>
    <row r="817" spans="1:4" x14ac:dyDescent="0.3">
      <c r="A817" s="294"/>
      <c r="B817" s="294"/>
      <c r="D817" s="294"/>
    </row>
    <row r="818" spans="1:4" x14ac:dyDescent="0.3">
      <c r="A818" s="294"/>
      <c r="B818" s="294"/>
      <c r="D818" s="294"/>
    </row>
    <row r="819" spans="1:4" x14ac:dyDescent="0.3">
      <c r="A819" s="294"/>
      <c r="B819" s="294"/>
      <c r="D819" s="294"/>
    </row>
    <row r="820" spans="1:4" x14ac:dyDescent="0.3">
      <c r="A820" s="294"/>
      <c r="B820" s="294"/>
      <c r="D820" s="294"/>
    </row>
    <row r="821" spans="1:4" x14ac:dyDescent="0.3">
      <c r="A821" s="294"/>
      <c r="B821" s="294"/>
      <c r="D821" s="294"/>
    </row>
    <row r="822" spans="1:4" x14ac:dyDescent="0.3">
      <c r="A822" s="294"/>
      <c r="B822" s="294"/>
      <c r="D822" s="294"/>
    </row>
    <row r="823" spans="1:4" x14ac:dyDescent="0.3">
      <c r="A823" s="294"/>
      <c r="B823" s="294"/>
      <c r="D823" s="294"/>
    </row>
    <row r="824" spans="1:4" x14ac:dyDescent="0.3">
      <c r="A824" s="294"/>
      <c r="B824" s="294"/>
      <c r="D824" s="294"/>
    </row>
    <row r="825" spans="1:4" x14ac:dyDescent="0.3">
      <c r="A825" s="294"/>
      <c r="B825" s="294"/>
      <c r="D825" s="294"/>
    </row>
    <row r="826" spans="1:4" x14ac:dyDescent="0.3">
      <c r="A826" s="294"/>
      <c r="B826" s="294"/>
      <c r="D826" s="294"/>
    </row>
    <row r="827" spans="1:4" x14ac:dyDescent="0.3">
      <c r="A827" s="294"/>
      <c r="B827" s="294"/>
      <c r="D827" s="294"/>
    </row>
    <row r="828" spans="1:4" x14ac:dyDescent="0.3">
      <c r="A828" s="294"/>
      <c r="B828" s="294"/>
      <c r="D828" s="294"/>
    </row>
    <row r="829" spans="1:4" x14ac:dyDescent="0.3">
      <c r="A829" s="294"/>
      <c r="B829" s="294"/>
      <c r="D829" s="294"/>
    </row>
    <row r="830" spans="1:4" x14ac:dyDescent="0.3">
      <c r="A830" s="294"/>
      <c r="B830" s="294"/>
      <c r="D830" s="294"/>
    </row>
    <row r="831" spans="1:4" x14ac:dyDescent="0.3">
      <c r="A831" s="294"/>
      <c r="B831" s="294"/>
      <c r="D831" s="294"/>
    </row>
    <row r="832" spans="1:4" x14ac:dyDescent="0.3">
      <c r="A832" s="294"/>
      <c r="B832" s="294"/>
      <c r="D832" s="294"/>
    </row>
    <row r="833" spans="1:4" x14ac:dyDescent="0.3">
      <c r="A833" s="294"/>
      <c r="B833" s="294"/>
      <c r="D833" s="294"/>
    </row>
    <row r="834" spans="1:4" x14ac:dyDescent="0.3">
      <c r="A834" s="294"/>
      <c r="B834" s="294"/>
      <c r="D834" s="294"/>
    </row>
    <row r="835" spans="1:4" x14ac:dyDescent="0.3">
      <c r="A835" s="294"/>
      <c r="B835" s="294"/>
      <c r="D835" s="294"/>
    </row>
    <row r="836" spans="1:4" x14ac:dyDescent="0.3">
      <c r="A836" s="294"/>
      <c r="B836" s="294"/>
      <c r="D836" s="294"/>
    </row>
    <row r="837" spans="1:4" x14ac:dyDescent="0.3">
      <c r="A837" s="294"/>
      <c r="B837" s="294"/>
      <c r="D837" s="294"/>
    </row>
    <row r="838" spans="1:4" x14ac:dyDescent="0.3">
      <c r="A838" s="294"/>
      <c r="B838" s="294"/>
      <c r="D838" s="294"/>
    </row>
    <row r="839" spans="1:4" x14ac:dyDescent="0.3">
      <c r="A839" s="294"/>
      <c r="B839" s="294"/>
      <c r="D839" s="294"/>
    </row>
    <row r="840" spans="1:4" x14ac:dyDescent="0.3">
      <c r="A840" s="294"/>
      <c r="B840" s="294"/>
      <c r="D840" s="294"/>
    </row>
    <row r="841" spans="1:4" x14ac:dyDescent="0.3">
      <c r="A841" s="294"/>
      <c r="B841" s="294"/>
      <c r="D841" s="294"/>
    </row>
    <row r="842" spans="1:4" x14ac:dyDescent="0.3">
      <c r="A842" s="294"/>
      <c r="B842" s="294"/>
      <c r="D842" s="294"/>
    </row>
    <row r="843" spans="1:4" x14ac:dyDescent="0.3">
      <c r="A843" s="294"/>
      <c r="B843" s="294"/>
      <c r="D843" s="294"/>
    </row>
    <row r="844" spans="1:4" x14ac:dyDescent="0.3">
      <c r="A844" s="294"/>
      <c r="B844" s="294"/>
      <c r="D844" s="294"/>
    </row>
    <row r="845" spans="1:4" x14ac:dyDescent="0.3">
      <c r="A845" s="294"/>
      <c r="B845" s="294"/>
      <c r="D845" s="294"/>
    </row>
    <row r="846" spans="1:4" x14ac:dyDescent="0.3">
      <c r="A846" s="294"/>
      <c r="B846" s="294"/>
      <c r="D846" s="294"/>
    </row>
    <row r="847" spans="1:4" x14ac:dyDescent="0.3">
      <c r="A847" s="294"/>
      <c r="B847" s="294"/>
      <c r="D847" s="294"/>
    </row>
    <row r="848" spans="1:4" x14ac:dyDescent="0.3">
      <c r="A848" s="294"/>
      <c r="B848" s="294"/>
      <c r="D848" s="294"/>
    </row>
    <row r="849" spans="1:4" x14ac:dyDescent="0.3">
      <c r="A849" s="294"/>
      <c r="B849" s="294"/>
      <c r="D849" s="294"/>
    </row>
    <row r="850" spans="1:4" x14ac:dyDescent="0.3">
      <c r="A850" s="294"/>
      <c r="B850" s="294"/>
      <c r="D850" s="294"/>
    </row>
    <row r="851" spans="1:4" x14ac:dyDescent="0.3">
      <c r="A851" s="294"/>
      <c r="B851" s="294"/>
      <c r="D851" s="294"/>
    </row>
    <row r="852" spans="1:4" x14ac:dyDescent="0.3">
      <c r="A852" s="294"/>
      <c r="B852" s="294"/>
      <c r="D852" s="294"/>
    </row>
    <row r="853" spans="1:4" x14ac:dyDescent="0.3">
      <c r="A853" s="294"/>
      <c r="B853" s="294"/>
      <c r="D853" s="294"/>
    </row>
    <row r="854" spans="1:4" x14ac:dyDescent="0.3">
      <c r="A854" s="294"/>
      <c r="B854" s="294"/>
      <c r="D854" s="294"/>
    </row>
    <row r="855" spans="1:4" x14ac:dyDescent="0.3">
      <c r="A855" s="294"/>
      <c r="B855" s="294"/>
      <c r="D855" s="294"/>
    </row>
    <row r="856" spans="1:4" x14ac:dyDescent="0.3">
      <c r="A856" s="294"/>
      <c r="B856" s="294"/>
      <c r="D856" s="294"/>
    </row>
    <row r="857" spans="1:4" x14ac:dyDescent="0.3">
      <c r="A857" s="294"/>
      <c r="B857" s="294"/>
      <c r="D857" s="294"/>
    </row>
    <row r="858" spans="1:4" x14ac:dyDescent="0.3">
      <c r="A858" s="294"/>
      <c r="B858" s="294"/>
      <c r="D858" s="294"/>
    </row>
    <row r="859" spans="1:4" x14ac:dyDescent="0.3">
      <c r="A859" s="294"/>
      <c r="B859" s="294"/>
      <c r="D859" s="294"/>
    </row>
    <row r="860" spans="1:4" x14ac:dyDescent="0.3">
      <c r="A860" s="294"/>
      <c r="B860" s="294"/>
      <c r="D860" s="294"/>
    </row>
    <row r="861" spans="1:4" x14ac:dyDescent="0.3">
      <c r="A861" s="294"/>
      <c r="B861" s="294"/>
      <c r="D861" s="294"/>
    </row>
    <row r="862" spans="1:4" x14ac:dyDescent="0.3">
      <c r="A862" s="294"/>
      <c r="B862" s="294"/>
      <c r="D862" s="294"/>
    </row>
    <row r="863" spans="1:4" x14ac:dyDescent="0.3">
      <c r="A863" s="294"/>
      <c r="B863" s="294"/>
      <c r="D863" s="294"/>
    </row>
    <row r="864" spans="1:4" x14ac:dyDescent="0.3">
      <c r="A864" s="294"/>
      <c r="B864" s="294"/>
      <c r="D864" s="294"/>
    </row>
    <row r="865" spans="1:4" x14ac:dyDescent="0.3">
      <c r="A865" s="294"/>
      <c r="B865" s="294"/>
      <c r="D865" s="294"/>
    </row>
    <row r="866" spans="1:4" x14ac:dyDescent="0.3">
      <c r="A866" s="294"/>
      <c r="B866" s="294"/>
      <c r="D866" s="294"/>
    </row>
    <row r="867" spans="1:4" x14ac:dyDescent="0.3">
      <c r="A867" s="294"/>
      <c r="B867" s="294"/>
      <c r="D867" s="294"/>
    </row>
    <row r="868" spans="1:4" x14ac:dyDescent="0.3">
      <c r="A868" s="294"/>
      <c r="B868" s="294"/>
      <c r="D868" s="294"/>
    </row>
    <row r="869" spans="1:4" x14ac:dyDescent="0.3">
      <c r="A869" s="294"/>
      <c r="B869" s="294"/>
      <c r="D869" s="294"/>
    </row>
    <row r="870" spans="1:4" x14ac:dyDescent="0.3">
      <c r="A870" s="294"/>
      <c r="B870" s="294"/>
      <c r="D870" s="294"/>
    </row>
    <row r="871" spans="1:4" x14ac:dyDescent="0.3">
      <c r="A871" s="294"/>
      <c r="B871" s="294"/>
      <c r="D871" s="294"/>
    </row>
    <row r="872" spans="1:4" x14ac:dyDescent="0.3">
      <c r="A872" s="294"/>
      <c r="B872" s="294"/>
      <c r="D872" s="294"/>
    </row>
    <row r="873" spans="1:4" x14ac:dyDescent="0.3">
      <c r="A873" s="294"/>
      <c r="B873" s="294"/>
      <c r="D873" s="294"/>
    </row>
    <row r="874" spans="1:4" x14ac:dyDescent="0.3">
      <c r="A874" s="294"/>
      <c r="B874" s="294"/>
      <c r="D874" s="294"/>
    </row>
    <row r="875" spans="1:4" x14ac:dyDescent="0.3">
      <c r="A875" s="294"/>
      <c r="B875" s="294"/>
      <c r="D875" s="294"/>
    </row>
    <row r="876" spans="1:4" x14ac:dyDescent="0.3">
      <c r="A876" s="294"/>
      <c r="B876" s="294"/>
      <c r="D876" s="294"/>
    </row>
    <row r="877" spans="1:4" x14ac:dyDescent="0.3">
      <c r="A877" s="294"/>
      <c r="B877" s="294"/>
      <c r="D877" s="294"/>
    </row>
    <row r="878" spans="1:4" x14ac:dyDescent="0.3">
      <c r="A878" s="294"/>
      <c r="B878" s="294"/>
      <c r="D878" s="294"/>
    </row>
    <row r="879" spans="1:4" x14ac:dyDescent="0.3">
      <c r="A879" s="294"/>
      <c r="B879" s="294"/>
      <c r="D879" s="294"/>
    </row>
    <row r="880" spans="1:4" x14ac:dyDescent="0.3">
      <c r="A880" s="294"/>
      <c r="B880" s="294"/>
      <c r="D880" s="294"/>
    </row>
    <row r="881" spans="1:4" x14ac:dyDescent="0.3">
      <c r="A881" s="294"/>
      <c r="B881" s="294"/>
      <c r="D881" s="294"/>
    </row>
    <row r="882" spans="1:4" x14ac:dyDescent="0.3">
      <c r="A882" s="294"/>
      <c r="B882" s="294"/>
      <c r="D882" s="294"/>
    </row>
    <row r="883" spans="1:4" x14ac:dyDescent="0.3">
      <c r="A883" s="294"/>
      <c r="B883" s="294"/>
      <c r="D883" s="294"/>
    </row>
    <row r="884" spans="1:4" x14ac:dyDescent="0.3">
      <c r="A884" s="294"/>
      <c r="B884" s="294"/>
      <c r="D884" s="294"/>
    </row>
    <row r="885" spans="1:4" x14ac:dyDescent="0.3">
      <c r="A885" s="294"/>
      <c r="B885" s="294"/>
      <c r="D885" s="294"/>
    </row>
    <row r="886" spans="1:4" x14ac:dyDescent="0.3">
      <c r="A886" s="294"/>
      <c r="B886" s="294"/>
      <c r="D886" s="294"/>
    </row>
    <row r="887" spans="1:4" x14ac:dyDescent="0.3">
      <c r="A887" s="294"/>
      <c r="B887" s="294"/>
      <c r="D887" s="294"/>
    </row>
    <row r="888" spans="1:4" x14ac:dyDescent="0.3">
      <c r="A888" s="294"/>
      <c r="B888" s="294"/>
      <c r="D888" s="294"/>
    </row>
    <row r="889" spans="1:4" x14ac:dyDescent="0.3">
      <c r="A889" s="294"/>
      <c r="B889" s="294"/>
      <c r="D889" s="294"/>
    </row>
    <row r="890" spans="1:4" x14ac:dyDescent="0.3">
      <c r="A890" s="294"/>
      <c r="B890" s="294"/>
      <c r="D890" s="294"/>
    </row>
    <row r="891" spans="1:4" x14ac:dyDescent="0.3">
      <c r="A891" s="294"/>
      <c r="B891" s="294"/>
      <c r="D891" s="294"/>
    </row>
    <row r="892" spans="1:4" x14ac:dyDescent="0.3">
      <c r="A892" s="294"/>
      <c r="B892" s="294"/>
      <c r="D892" s="294"/>
    </row>
    <row r="893" spans="1:4" x14ac:dyDescent="0.3">
      <c r="A893" s="294"/>
      <c r="B893" s="294"/>
      <c r="D893" s="294"/>
    </row>
    <row r="894" spans="1:4" x14ac:dyDescent="0.3">
      <c r="A894" s="294"/>
      <c r="B894" s="294"/>
      <c r="D894" s="294"/>
    </row>
    <row r="895" spans="1:4" x14ac:dyDescent="0.3">
      <c r="A895" s="294"/>
      <c r="B895" s="294"/>
      <c r="D895" s="294"/>
    </row>
    <row r="896" spans="1:4" x14ac:dyDescent="0.3">
      <c r="A896" s="294"/>
      <c r="B896" s="294"/>
      <c r="D896" s="294"/>
    </row>
    <row r="897" spans="1:4" x14ac:dyDescent="0.3">
      <c r="A897" s="294"/>
      <c r="B897" s="294"/>
      <c r="D897" s="294"/>
    </row>
    <row r="898" spans="1:4" x14ac:dyDescent="0.3">
      <c r="A898" s="294"/>
      <c r="B898" s="294"/>
      <c r="D898" s="294"/>
    </row>
    <row r="899" spans="1:4" x14ac:dyDescent="0.3">
      <c r="A899" s="294"/>
      <c r="B899" s="294"/>
      <c r="D899" s="294"/>
    </row>
    <row r="900" spans="1:4" x14ac:dyDescent="0.3">
      <c r="A900" s="294"/>
      <c r="B900" s="294"/>
      <c r="D900" s="294"/>
    </row>
    <row r="901" spans="1:4" x14ac:dyDescent="0.3">
      <c r="A901" s="294"/>
      <c r="B901" s="294"/>
      <c r="D901" s="294"/>
    </row>
    <row r="902" spans="1:4" x14ac:dyDescent="0.3">
      <c r="A902" s="294"/>
      <c r="B902" s="294"/>
      <c r="D902" s="294"/>
    </row>
    <row r="903" spans="1:4" x14ac:dyDescent="0.3">
      <c r="A903" s="294"/>
      <c r="B903" s="294"/>
      <c r="D903" s="294"/>
    </row>
    <row r="904" spans="1:4" x14ac:dyDescent="0.3">
      <c r="A904" s="294"/>
      <c r="B904" s="294"/>
      <c r="D904" s="294"/>
    </row>
    <row r="905" spans="1:4" x14ac:dyDescent="0.3">
      <c r="A905" s="294"/>
      <c r="B905" s="294"/>
      <c r="D905" s="294"/>
    </row>
    <row r="906" spans="1:4" x14ac:dyDescent="0.3">
      <c r="A906" s="294"/>
      <c r="B906" s="294"/>
      <c r="D906" s="294"/>
    </row>
    <row r="907" spans="1:4" x14ac:dyDescent="0.3">
      <c r="A907" s="294"/>
      <c r="B907" s="294"/>
      <c r="D907" s="294"/>
    </row>
    <row r="908" spans="1:4" x14ac:dyDescent="0.3">
      <c r="A908" s="294"/>
      <c r="B908" s="294"/>
      <c r="D908" s="294"/>
    </row>
    <row r="909" spans="1:4" x14ac:dyDescent="0.3">
      <c r="A909" s="294"/>
      <c r="B909" s="294"/>
      <c r="D909" s="294"/>
    </row>
    <row r="910" spans="1:4" x14ac:dyDescent="0.3">
      <c r="A910" s="294"/>
      <c r="B910" s="294"/>
      <c r="D910" s="294"/>
    </row>
    <row r="911" spans="1:4" x14ac:dyDescent="0.3">
      <c r="A911" s="294"/>
      <c r="B911" s="294"/>
      <c r="D911" s="294"/>
    </row>
    <row r="912" spans="1:4" x14ac:dyDescent="0.3">
      <c r="A912" s="294"/>
      <c r="B912" s="294"/>
      <c r="D912" s="294"/>
    </row>
    <row r="913" spans="1:4" x14ac:dyDescent="0.3">
      <c r="A913" s="294"/>
      <c r="B913" s="294"/>
      <c r="D913" s="294"/>
    </row>
    <row r="914" spans="1:4" x14ac:dyDescent="0.3">
      <c r="A914" s="294"/>
      <c r="B914" s="294"/>
      <c r="D914" s="294"/>
    </row>
    <row r="915" spans="1:4" x14ac:dyDescent="0.3">
      <c r="A915" s="294"/>
      <c r="B915" s="294"/>
      <c r="D915" s="294"/>
    </row>
    <row r="916" spans="1:4" x14ac:dyDescent="0.3">
      <c r="A916" s="294"/>
      <c r="B916" s="294"/>
      <c r="D916" s="294"/>
    </row>
    <row r="917" spans="1:4" x14ac:dyDescent="0.3">
      <c r="A917" s="294"/>
      <c r="B917" s="294"/>
      <c r="D917" s="294"/>
    </row>
    <row r="918" spans="1:4" x14ac:dyDescent="0.3">
      <c r="A918" s="294"/>
      <c r="B918" s="294"/>
      <c r="D918" s="294"/>
    </row>
    <row r="919" spans="1:4" x14ac:dyDescent="0.3">
      <c r="A919" s="294"/>
      <c r="B919" s="294"/>
      <c r="D919" s="294"/>
    </row>
    <row r="920" spans="1:4" x14ac:dyDescent="0.3">
      <c r="A920" s="294"/>
      <c r="B920" s="294"/>
      <c r="D920" s="294"/>
    </row>
    <row r="921" spans="1:4" x14ac:dyDescent="0.3">
      <c r="A921" s="294"/>
      <c r="B921" s="294"/>
      <c r="D921" s="294"/>
    </row>
    <row r="922" spans="1:4" x14ac:dyDescent="0.3">
      <c r="A922" s="294"/>
      <c r="B922" s="294"/>
      <c r="D922" s="294"/>
    </row>
    <row r="923" spans="1:4" x14ac:dyDescent="0.3">
      <c r="A923" s="294"/>
      <c r="B923" s="294"/>
      <c r="D923" s="294"/>
    </row>
    <row r="924" spans="1:4" x14ac:dyDescent="0.3">
      <c r="A924" s="294"/>
      <c r="B924" s="294"/>
      <c r="D924" s="294"/>
    </row>
    <row r="925" spans="1:4" x14ac:dyDescent="0.3">
      <c r="A925" s="294"/>
      <c r="B925" s="294"/>
      <c r="D925" s="294"/>
    </row>
    <row r="926" spans="1:4" x14ac:dyDescent="0.3">
      <c r="A926" s="294"/>
      <c r="B926" s="294"/>
      <c r="D926" s="294"/>
    </row>
    <row r="927" spans="1:4" x14ac:dyDescent="0.3">
      <c r="A927" s="294"/>
      <c r="B927" s="294"/>
      <c r="D927" s="294"/>
    </row>
    <row r="928" spans="1:4" x14ac:dyDescent="0.3">
      <c r="A928" s="294"/>
      <c r="B928" s="294"/>
      <c r="D928" s="294"/>
    </row>
    <row r="929" spans="1:4" x14ac:dyDescent="0.3">
      <c r="A929" s="294"/>
      <c r="B929" s="294"/>
      <c r="D929" s="294"/>
    </row>
    <row r="930" spans="1:4" x14ac:dyDescent="0.3">
      <c r="A930" s="294"/>
      <c r="B930" s="294"/>
      <c r="D930" s="294"/>
    </row>
    <row r="931" spans="1:4" x14ac:dyDescent="0.3">
      <c r="A931" s="294"/>
      <c r="B931" s="294"/>
      <c r="D931" s="294"/>
    </row>
    <row r="932" spans="1:4" x14ac:dyDescent="0.3">
      <c r="A932" s="294"/>
      <c r="B932" s="294"/>
      <c r="D932" s="294"/>
    </row>
    <row r="933" spans="1:4" x14ac:dyDescent="0.3">
      <c r="A933" s="294"/>
      <c r="B933" s="294"/>
      <c r="D933" s="294"/>
    </row>
    <row r="934" spans="1:4" x14ac:dyDescent="0.3">
      <c r="A934" s="294"/>
      <c r="B934" s="294"/>
      <c r="D934" s="294"/>
    </row>
    <row r="935" spans="1:4" x14ac:dyDescent="0.3">
      <c r="A935" s="294"/>
      <c r="B935" s="294"/>
      <c r="D935" s="294"/>
    </row>
    <row r="936" spans="1:4" x14ac:dyDescent="0.3">
      <c r="A936" s="294"/>
      <c r="B936" s="294"/>
      <c r="D936" s="294"/>
    </row>
    <row r="937" spans="1:4" x14ac:dyDescent="0.3">
      <c r="A937" s="294"/>
      <c r="B937" s="294"/>
      <c r="D937" s="294"/>
    </row>
    <row r="938" spans="1:4" x14ac:dyDescent="0.3">
      <c r="A938" s="294"/>
      <c r="B938" s="294"/>
      <c r="D938" s="294"/>
    </row>
    <row r="939" spans="1:4" x14ac:dyDescent="0.3">
      <c r="A939" s="294"/>
      <c r="B939" s="294"/>
      <c r="D939" s="294"/>
    </row>
    <row r="940" spans="1:4" x14ac:dyDescent="0.3">
      <c r="A940" s="294"/>
      <c r="B940" s="294"/>
      <c r="D940" s="294"/>
    </row>
    <row r="941" spans="1:4" x14ac:dyDescent="0.3">
      <c r="A941" s="294"/>
      <c r="B941" s="294"/>
      <c r="D941" s="294"/>
    </row>
    <row r="942" spans="1:4" x14ac:dyDescent="0.3">
      <c r="A942" s="294"/>
      <c r="B942" s="294"/>
      <c r="D942" s="294"/>
    </row>
    <row r="943" spans="1:4" x14ac:dyDescent="0.3">
      <c r="A943" s="294"/>
      <c r="B943" s="294"/>
      <c r="D943" s="294"/>
    </row>
    <row r="944" spans="1:4" x14ac:dyDescent="0.3">
      <c r="A944" s="294"/>
      <c r="B944" s="294"/>
      <c r="D944" s="294"/>
    </row>
    <row r="945" spans="1:4" x14ac:dyDescent="0.3">
      <c r="A945" s="294"/>
      <c r="B945" s="294"/>
      <c r="D945" s="294"/>
    </row>
    <row r="946" spans="1:4" x14ac:dyDescent="0.3">
      <c r="A946" s="294"/>
      <c r="B946" s="294"/>
      <c r="D946" s="294"/>
    </row>
    <row r="947" spans="1:4" x14ac:dyDescent="0.3">
      <c r="A947" s="294"/>
      <c r="B947" s="294"/>
      <c r="D947" s="294"/>
    </row>
    <row r="948" spans="1:4" x14ac:dyDescent="0.3">
      <c r="A948" s="294"/>
      <c r="B948" s="294"/>
      <c r="D948" s="294"/>
    </row>
    <row r="949" spans="1:4" x14ac:dyDescent="0.3">
      <c r="A949" s="294"/>
      <c r="B949" s="294"/>
      <c r="D949" s="294"/>
    </row>
    <row r="950" spans="1:4" x14ac:dyDescent="0.3">
      <c r="A950" s="294"/>
      <c r="B950" s="294"/>
      <c r="D950" s="294"/>
    </row>
    <row r="951" spans="1:4" x14ac:dyDescent="0.3">
      <c r="A951" s="294"/>
      <c r="B951" s="294"/>
      <c r="D951" s="294"/>
    </row>
    <row r="952" spans="1:4" x14ac:dyDescent="0.3">
      <c r="A952" s="294"/>
      <c r="B952" s="294"/>
      <c r="D952" s="294"/>
    </row>
    <row r="953" spans="1:4" x14ac:dyDescent="0.3">
      <c r="A953" s="294"/>
      <c r="B953" s="294"/>
      <c r="D953" s="294"/>
    </row>
    <row r="954" spans="1:4" x14ac:dyDescent="0.3">
      <c r="A954" s="294"/>
      <c r="B954" s="294"/>
      <c r="D954" s="294"/>
    </row>
    <row r="955" spans="1:4" x14ac:dyDescent="0.3">
      <c r="A955" s="294"/>
      <c r="B955" s="294"/>
      <c r="D955" s="294"/>
    </row>
    <row r="956" spans="1:4" x14ac:dyDescent="0.3">
      <c r="A956" s="294"/>
      <c r="B956" s="294"/>
      <c r="D956" s="294"/>
    </row>
    <row r="957" spans="1:4" x14ac:dyDescent="0.3">
      <c r="A957" s="294"/>
      <c r="B957" s="294"/>
      <c r="D957" s="294"/>
    </row>
    <row r="958" spans="1:4" x14ac:dyDescent="0.3">
      <c r="A958" s="294"/>
      <c r="B958" s="294"/>
      <c r="D958" s="294"/>
    </row>
    <row r="959" spans="1:4" x14ac:dyDescent="0.3">
      <c r="A959" s="294"/>
      <c r="B959" s="294"/>
      <c r="D959" s="294"/>
    </row>
    <row r="960" spans="1:4" x14ac:dyDescent="0.3">
      <c r="A960" s="294"/>
      <c r="B960" s="294"/>
      <c r="D960" s="294"/>
    </row>
    <row r="961" spans="1:4" x14ac:dyDescent="0.3">
      <c r="A961" s="294"/>
      <c r="B961" s="294"/>
      <c r="D961" s="294"/>
    </row>
    <row r="962" spans="1:4" x14ac:dyDescent="0.3">
      <c r="A962" s="294"/>
      <c r="B962" s="294"/>
      <c r="D962" s="294"/>
    </row>
    <row r="963" spans="1:4" x14ac:dyDescent="0.3">
      <c r="A963" s="294"/>
      <c r="B963" s="294"/>
      <c r="D963" s="294"/>
    </row>
    <row r="964" spans="1:4" x14ac:dyDescent="0.3">
      <c r="A964" s="294"/>
      <c r="B964" s="294"/>
      <c r="D964" s="294"/>
    </row>
    <row r="965" spans="1:4" x14ac:dyDescent="0.3">
      <c r="A965" s="294"/>
      <c r="B965" s="294"/>
      <c r="D965" s="294"/>
    </row>
    <row r="966" spans="1:4" x14ac:dyDescent="0.3">
      <c r="A966" s="294"/>
      <c r="B966" s="294"/>
      <c r="D966" s="294"/>
    </row>
    <row r="967" spans="1:4" x14ac:dyDescent="0.3">
      <c r="A967" s="294"/>
      <c r="B967" s="294"/>
      <c r="D967" s="294"/>
    </row>
    <row r="968" spans="1:4" x14ac:dyDescent="0.3">
      <c r="A968" s="294"/>
      <c r="B968" s="294"/>
      <c r="D968" s="294"/>
    </row>
    <row r="969" spans="1:4" x14ac:dyDescent="0.3">
      <c r="A969" s="294"/>
      <c r="B969" s="294"/>
      <c r="D969" s="294"/>
    </row>
    <row r="970" spans="1:4" x14ac:dyDescent="0.3">
      <c r="A970" s="294"/>
      <c r="B970" s="294"/>
      <c r="D970" s="294"/>
    </row>
    <row r="971" spans="1:4" x14ac:dyDescent="0.3">
      <c r="A971" s="294"/>
      <c r="B971" s="294"/>
      <c r="D971" s="294"/>
    </row>
    <row r="972" spans="1:4" x14ac:dyDescent="0.3">
      <c r="A972" s="294"/>
      <c r="B972" s="294"/>
      <c r="D972" s="294"/>
    </row>
    <row r="973" spans="1:4" x14ac:dyDescent="0.3">
      <c r="A973" s="294"/>
      <c r="B973" s="294"/>
      <c r="D973" s="294"/>
    </row>
    <row r="974" spans="1:4" x14ac:dyDescent="0.3">
      <c r="A974" s="294"/>
      <c r="B974" s="294"/>
      <c r="D974" s="294"/>
    </row>
    <row r="975" spans="1:4" x14ac:dyDescent="0.3">
      <c r="A975" s="294"/>
      <c r="B975" s="294"/>
      <c r="D975" s="294"/>
    </row>
    <row r="976" spans="1:4" x14ac:dyDescent="0.3">
      <c r="A976" s="294"/>
      <c r="B976" s="294"/>
      <c r="D976" s="294"/>
    </row>
    <row r="977" spans="1:4" x14ac:dyDescent="0.3">
      <c r="A977" s="294"/>
      <c r="B977" s="294"/>
      <c r="D977" s="294"/>
    </row>
    <row r="978" spans="1:4" x14ac:dyDescent="0.3">
      <c r="A978" s="294"/>
      <c r="B978" s="294"/>
      <c r="D978" s="294"/>
    </row>
    <row r="979" spans="1:4" x14ac:dyDescent="0.3">
      <c r="A979" s="294"/>
      <c r="B979" s="294"/>
      <c r="D979" s="294"/>
    </row>
    <row r="980" spans="1:4" x14ac:dyDescent="0.3">
      <c r="A980" s="294"/>
      <c r="B980" s="294"/>
      <c r="D980" s="294"/>
    </row>
    <row r="981" spans="1:4" x14ac:dyDescent="0.3">
      <c r="A981" s="294"/>
      <c r="B981" s="294"/>
      <c r="D981" s="294"/>
    </row>
    <row r="982" spans="1:4" x14ac:dyDescent="0.3">
      <c r="A982" s="294"/>
      <c r="B982" s="294"/>
      <c r="D982" s="294"/>
    </row>
    <row r="983" spans="1:4" x14ac:dyDescent="0.3">
      <c r="A983" s="294"/>
      <c r="B983" s="294"/>
      <c r="D983" s="294"/>
    </row>
    <row r="984" spans="1:4" x14ac:dyDescent="0.3">
      <c r="A984" s="294"/>
      <c r="B984" s="294"/>
      <c r="D984" s="294"/>
    </row>
    <row r="985" spans="1:4" x14ac:dyDescent="0.3">
      <c r="A985" s="294"/>
      <c r="B985" s="294"/>
      <c r="D985" s="294"/>
    </row>
    <row r="986" spans="1:4" x14ac:dyDescent="0.3">
      <c r="A986" s="294"/>
      <c r="B986" s="294"/>
      <c r="D986" s="294"/>
    </row>
    <row r="987" spans="1:4" x14ac:dyDescent="0.3">
      <c r="A987" s="294"/>
      <c r="B987" s="294"/>
      <c r="D987" s="294"/>
    </row>
    <row r="988" spans="1:4" x14ac:dyDescent="0.3">
      <c r="A988" s="294"/>
      <c r="B988" s="294"/>
      <c r="D988" s="294"/>
    </row>
    <row r="989" spans="1:4" x14ac:dyDescent="0.3">
      <c r="A989" s="294"/>
      <c r="B989" s="294"/>
      <c r="D989" s="294"/>
    </row>
    <row r="990" spans="1:4" x14ac:dyDescent="0.3">
      <c r="A990" s="294"/>
      <c r="B990" s="294"/>
      <c r="D990" s="294"/>
    </row>
    <row r="991" spans="1:4" x14ac:dyDescent="0.3">
      <c r="A991" s="294"/>
      <c r="B991" s="294"/>
      <c r="D991" s="294"/>
    </row>
    <row r="992" spans="1:4" x14ac:dyDescent="0.3">
      <c r="A992" s="294"/>
      <c r="B992" s="294"/>
      <c r="D992" s="294"/>
    </row>
    <row r="993" spans="1:4" x14ac:dyDescent="0.3">
      <c r="A993" s="294"/>
      <c r="B993" s="294"/>
      <c r="D993" s="294"/>
    </row>
    <row r="994" spans="1:4" x14ac:dyDescent="0.3">
      <c r="A994" s="294"/>
      <c r="B994" s="294"/>
      <c r="D994" s="294"/>
    </row>
    <row r="995" spans="1:4" x14ac:dyDescent="0.3">
      <c r="A995" s="294"/>
      <c r="B995" s="294"/>
      <c r="D995" s="294"/>
    </row>
    <row r="996" spans="1:4" x14ac:dyDescent="0.3">
      <c r="A996" s="294"/>
      <c r="B996" s="294"/>
      <c r="D996" s="294"/>
    </row>
    <row r="997" spans="1:4" x14ac:dyDescent="0.3">
      <c r="A997" s="294"/>
      <c r="B997" s="294"/>
      <c r="D997" s="294"/>
    </row>
    <row r="998" spans="1:4" x14ac:dyDescent="0.3">
      <c r="A998" s="294"/>
      <c r="B998" s="294"/>
      <c r="D998" s="294"/>
    </row>
    <row r="999" spans="1:4" x14ac:dyDescent="0.3">
      <c r="A999" s="294"/>
      <c r="B999" s="294"/>
      <c r="D999" s="294"/>
    </row>
    <row r="1000" spans="1:4" x14ac:dyDescent="0.3">
      <c r="A1000" s="294"/>
      <c r="B1000" s="294"/>
      <c r="D1000" s="294"/>
    </row>
    <row r="1001" spans="1:4" x14ac:dyDescent="0.3">
      <c r="A1001" s="294"/>
      <c r="B1001" s="294"/>
      <c r="D1001" s="294"/>
    </row>
    <row r="1002" spans="1:4" x14ac:dyDescent="0.3">
      <c r="A1002" s="294"/>
      <c r="B1002" s="294"/>
      <c r="D1002" s="294"/>
    </row>
    <row r="1003" spans="1:4" x14ac:dyDescent="0.3">
      <c r="A1003" s="294"/>
      <c r="B1003" s="294"/>
      <c r="D1003" s="294"/>
    </row>
    <row r="1004" spans="1:4" x14ac:dyDescent="0.3">
      <c r="A1004" s="294"/>
      <c r="B1004" s="294"/>
      <c r="D1004" s="294"/>
    </row>
    <row r="1005" spans="1:4" x14ac:dyDescent="0.3">
      <c r="A1005" s="294"/>
      <c r="B1005" s="294"/>
      <c r="D1005" s="294"/>
    </row>
    <row r="1006" spans="1:4" x14ac:dyDescent="0.3">
      <c r="A1006" s="294"/>
      <c r="B1006" s="294"/>
      <c r="D1006" s="294"/>
    </row>
    <row r="1007" spans="1:4" x14ac:dyDescent="0.3">
      <c r="A1007" s="294"/>
      <c r="B1007" s="294"/>
      <c r="D1007" s="294"/>
    </row>
    <row r="1008" spans="1:4" x14ac:dyDescent="0.3">
      <c r="A1008" s="294"/>
      <c r="B1008" s="294"/>
      <c r="D1008" s="294"/>
    </row>
    <row r="1009" spans="1:4" x14ac:dyDescent="0.3">
      <c r="A1009" s="294"/>
      <c r="B1009" s="294"/>
      <c r="D1009" s="294"/>
    </row>
    <row r="1010" spans="1:4" x14ac:dyDescent="0.3">
      <c r="A1010" s="294"/>
      <c r="B1010" s="294"/>
      <c r="D1010" s="294"/>
    </row>
    <row r="1011" spans="1:4" x14ac:dyDescent="0.3">
      <c r="A1011" s="294"/>
      <c r="B1011" s="294"/>
      <c r="D1011" s="294"/>
    </row>
    <row r="1012" spans="1:4" x14ac:dyDescent="0.3">
      <c r="A1012" s="294"/>
      <c r="B1012" s="294"/>
      <c r="D1012" s="294"/>
    </row>
    <row r="1013" spans="1:4" x14ac:dyDescent="0.3">
      <c r="A1013" s="294"/>
      <c r="B1013" s="294"/>
      <c r="D1013" s="294"/>
    </row>
    <row r="1014" spans="1:4" x14ac:dyDescent="0.3">
      <c r="A1014" s="294"/>
      <c r="B1014" s="294"/>
      <c r="D1014" s="294"/>
    </row>
    <row r="1015" spans="1:4" x14ac:dyDescent="0.3">
      <c r="A1015" s="294"/>
      <c r="B1015" s="294"/>
      <c r="D1015" s="294"/>
    </row>
    <row r="1016" spans="1:4" x14ac:dyDescent="0.3">
      <c r="A1016" s="294"/>
      <c r="B1016" s="294"/>
      <c r="D1016" s="294"/>
    </row>
    <row r="1017" spans="1:4" x14ac:dyDescent="0.3">
      <c r="A1017" s="294"/>
      <c r="B1017" s="294"/>
      <c r="D1017" s="294"/>
    </row>
    <row r="1018" spans="1:4" x14ac:dyDescent="0.3">
      <c r="A1018" s="294"/>
      <c r="B1018" s="294"/>
      <c r="D1018" s="294"/>
    </row>
    <row r="1019" spans="1:4" x14ac:dyDescent="0.3">
      <c r="A1019" s="294"/>
      <c r="B1019" s="294"/>
      <c r="D1019" s="294"/>
    </row>
    <row r="1020" spans="1:4" x14ac:dyDescent="0.3">
      <c r="A1020" s="294"/>
      <c r="B1020" s="294"/>
      <c r="D1020" s="294"/>
    </row>
    <row r="1021" spans="1:4" x14ac:dyDescent="0.3">
      <c r="A1021" s="294"/>
      <c r="B1021" s="294"/>
      <c r="D1021" s="294"/>
    </row>
    <row r="1022" spans="1:4" x14ac:dyDescent="0.3">
      <c r="A1022" s="294"/>
      <c r="B1022" s="294"/>
      <c r="D1022" s="294"/>
    </row>
    <row r="1023" spans="1:4" x14ac:dyDescent="0.3">
      <c r="A1023" s="294"/>
      <c r="B1023" s="294"/>
      <c r="D1023" s="294"/>
    </row>
    <row r="1024" spans="1:4" x14ac:dyDescent="0.3">
      <c r="A1024" s="294"/>
      <c r="B1024" s="294"/>
      <c r="D1024" s="294"/>
    </row>
    <row r="1025" spans="1:4" x14ac:dyDescent="0.3">
      <c r="A1025" s="294"/>
      <c r="B1025" s="294"/>
      <c r="D1025" s="294"/>
    </row>
    <row r="1026" spans="1:4" x14ac:dyDescent="0.3">
      <c r="A1026" s="294"/>
      <c r="B1026" s="294"/>
      <c r="D1026" s="294"/>
    </row>
    <row r="1027" spans="1:4" x14ac:dyDescent="0.3">
      <c r="A1027" s="294"/>
      <c r="B1027" s="294"/>
      <c r="D1027" s="294"/>
    </row>
    <row r="1028" spans="1:4" x14ac:dyDescent="0.3">
      <c r="A1028" s="294"/>
      <c r="B1028" s="294"/>
      <c r="D1028" s="294"/>
    </row>
    <row r="1029" spans="1:4" x14ac:dyDescent="0.3">
      <c r="A1029" s="294"/>
      <c r="B1029" s="294"/>
      <c r="D1029" s="294"/>
    </row>
    <row r="1030" spans="1:4" x14ac:dyDescent="0.3">
      <c r="A1030" s="294"/>
      <c r="B1030" s="294"/>
      <c r="D1030" s="294"/>
    </row>
    <row r="1031" spans="1:4" x14ac:dyDescent="0.3">
      <c r="A1031" s="294"/>
      <c r="B1031" s="294"/>
      <c r="D1031" s="294"/>
    </row>
    <row r="1032" spans="1:4" x14ac:dyDescent="0.3">
      <c r="A1032" s="294"/>
      <c r="B1032" s="294"/>
      <c r="D1032" s="294"/>
    </row>
    <row r="1033" spans="1:4" x14ac:dyDescent="0.3">
      <c r="A1033" s="294"/>
      <c r="B1033" s="294"/>
      <c r="D1033" s="294"/>
    </row>
    <row r="1034" spans="1:4" x14ac:dyDescent="0.3">
      <c r="A1034" s="294"/>
      <c r="B1034" s="294"/>
      <c r="D1034" s="294"/>
    </row>
    <row r="1035" spans="1:4" x14ac:dyDescent="0.3">
      <c r="A1035" s="294"/>
      <c r="B1035" s="294"/>
      <c r="D1035" s="294"/>
    </row>
    <row r="1036" spans="1:4" x14ac:dyDescent="0.3">
      <c r="A1036" s="294"/>
      <c r="B1036" s="294"/>
      <c r="D1036" s="294"/>
    </row>
    <row r="1037" spans="1:4" x14ac:dyDescent="0.3">
      <c r="A1037" s="294"/>
      <c r="B1037" s="294"/>
      <c r="D1037" s="294"/>
    </row>
    <row r="1038" spans="1:4" x14ac:dyDescent="0.3">
      <c r="A1038" s="294"/>
      <c r="B1038" s="294"/>
      <c r="D1038" s="294"/>
    </row>
    <row r="1039" spans="1:4" x14ac:dyDescent="0.3">
      <c r="A1039" s="294"/>
      <c r="B1039" s="294"/>
      <c r="D1039" s="294"/>
    </row>
    <row r="1040" spans="1:4" x14ac:dyDescent="0.3">
      <c r="A1040" s="294"/>
      <c r="B1040" s="294"/>
      <c r="D1040" s="294"/>
    </row>
    <row r="1041" spans="1:4" x14ac:dyDescent="0.3">
      <c r="A1041" s="294"/>
      <c r="B1041" s="294"/>
      <c r="D1041" s="294"/>
    </row>
    <row r="1042" spans="1:4" x14ac:dyDescent="0.3">
      <c r="A1042" s="294"/>
      <c r="B1042" s="294"/>
      <c r="D1042" s="294"/>
    </row>
    <row r="1043" spans="1:4" x14ac:dyDescent="0.3">
      <c r="A1043" s="294"/>
      <c r="B1043" s="294"/>
      <c r="D1043" s="294"/>
    </row>
    <row r="1044" spans="1:4" x14ac:dyDescent="0.3">
      <c r="A1044" s="294"/>
      <c r="B1044" s="294"/>
      <c r="D1044" s="294"/>
    </row>
    <row r="1045" spans="1:4" x14ac:dyDescent="0.3">
      <c r="A1045" s="294"/>
      <c r="B1045" s="294"/>
      <c r="D1045" s="294"/>
    </row>
    <row r="1046" spans="1:4" x14ac:dyDescent="0.3">
      <c r="A1046" s="294"/>
      <c r="B1046" s="294"/>
      <c r="D1046" s="294"/>
    </row>
    <row r="1047" spans="1:4" x14ac:dyDescent="0.3">
      <c r="A1047" s="294"/>
      <c r="B1047" s="294"/>
      <c r="D1047" s="294"/>
    </row>
    <row r="1048" spans="1:4" x14ac:dyDescent="0.3">
      <c r="A1048" s="294"/>
      <c r="B1048" s="294"/>
      <c r="D1048" s="294"/>
    </row>
    <row r="1049" spans="1:4" x14ac:dyDescent="0.3">
      <c r="A1049" s="294"/>
      <c r="B1049" s="294"/>
      <c r="D1049" s="294"/>
    </row>
    <row r="1050" spans="1:4" x14ac:dyDescent="0.3">
      <c r="A1050" s="294"/>
      <c r="B1050" s="294"/>
      <c r="D1050" s="294"/>
    </row>
    <row r="1051" spans="1:4" x14ac:dyDescent="0.3">
      <c r="A1051" s="294"/>
      <c r="B1051" s="294"/>
      <c r="D1051" s="294"/>
    </row>
    <row r="1052" spans="1:4" x14ac:dyDescent="0.3">
      <c r="A1052" s="294"/>
      <c r="B1052" s="294"/>
      <c r="D1052" s="294"/>
    </row>
    <row r="1053" spans="1:4" x14ac:dyDescent="0.3">
      <c r="A1053" s="294"/>
      <c r="B1053" s="294"/>
      <c r="D1053" s="294"/>
    </row>
    <row r="1054" spans="1:4" x14ac:dyDescent="0.3">
      <c r="A1054" s="294"/>
      <c r="B1054" s="294"/>
      <c r="D1054" s="294"/>
    </row>
    <row r="1055" spans="1:4" x14ac:dyDescent="0.3">
      <c r="A1055" s="294"/>
      <c r="B1055" s="294"/>
      <c r="D1055" s="294"/>
    </row>
    <row r="1056" spans="1:4" x14ac:dyDescent="0.3">
      <c r="A1056" s="294"/>
      <c r="B1056" s="294"/>
      <c r="D1056" s="294"/>
    </row>
    <row r="1057" spans="1:4" x14ac:dyDescent="0.3">
      <c r="A1057" s="294"/>
      <c r="B1057" s="294"/>
      <c r="D1057" s="294"/>
    </row>
    <row r="1058" spans="1:4" x14ac:dyDescent="0.3">
      <c r="A1058" s="294"/>
      <c r="B1058" s="294"/>
      <c r="D1058" s="294"/>
    </row>
    <row r="1059" spans="1:4" x14ac:dyDescent="0.3">
      <c r="A1059" s="294"/>
      <c r="B1059" s="294"/>
      <c r="D1059" s="294"/>
    </row>
    <row r="1060" spans="1:4" x14ac:dyDescent="0.3">
      <c r="A1060" s="294"/>
      <c r="B1060" s="294"/>
      <c r="D1060" s="294"/>
    </row>
    <row r="1061" spans="1:4" x14ac:dyDescent="0.3">
      <c r="A1061" s="294"/>
      <c r="B1061" s="294"/>
      <c r="D1061" s="294"/>
    </row>
    <row r="1062" spans="1:4" x14ac:dyDescent="0.3">
      <c r="A1062" s="294"/>
      <c r="B1062" s="294"/>
      <c r="D1062" s="294"/>
    </row>
    <row r="1063" spans="1:4" x14ac:dyDescent="0.3">
      <c r="A1063" s="294"/>
      <c r="B1063" s="294"/>
      <c r="D1063" s="294"/>
    </row>
    <row r="1064" spans="1:4" x14ac:dyDescent="0.3">
      <c r="A1064" s="294"/>
      <c r="B1064" s="294"/>
      <c r="D1064" s="294"/>
    </row>
    <row r="1065" spans="1:4" x14ac:dyDescent="0.3">
      <c r="A1065" s="294"/>
      <c r="B1065" s="294"/>
      <c r="D1065" s="294"/>
    </row>
    <row r="1066" spans="1:4" x14ac:dyDescent="0.3">
      <c r="A1066" s="294"/>
      <c r="B1066" s="294"/>
      <c r="D1066" s="294"/>
    </row>
    <row r="1067" spans="1:4" x14ac:dyDescent="0.3">
      <c r="A1067" s="294"/>
      <c r="B1067" s="294"/>
      <c r="D1067" s="294"/>
    </row>
    <row r="1068" spans="1:4" x14ac:dyDescent="0.3">
      <c r="A1068" s="294"/>
      <c r="B1068" s="294"/>
      <c r="D1068" s="294"/>
    </row>
    <row r="1069" spans="1:4" x14ac:dyDescent="0.3">
      <c r="A1069" s="294"/>
      <c r="B1069" s="294"/>
      <c r="D1069" s="294"/>
    </row>
    <row r="1070" spans="1:4" x14ac:dyDescent="0.3">
      <c r="A1070" s="294"/>
      <c r="B1070" s="294"/>
      <c r="D1070" s="294"/>
    </row>
    <row r="1071" spans="1:4" x14ac:dyDescent="0.3">
      <c r="A1071" s="294"/>
      <c r="B1071" s="294"/>
      <c r="D1071" s="294"/>
    </row>
    <row r="1072" spans="1:4" x14ac:dyDescent="0.3">
      <c r="A1072" s="294"/>
      <c r="B1072" s="294"/>
      <c r="D1072" s="294"/>
    </row>
    <row r="1073" spans="1:4" x14ac:dyDescent="0.3">
      <c r="A1073" s="294"/>
      <c r="B1073" s="294"/>
      <c r="D1073" s="294"/>
    </row>
    <row r="1074" spans="1:4" x14ac:dyDescent="0.3">
      <c r="A1074" s="294"/>
      <c r="B1074" s="294"/>
      <c r="D1074" s="294"/>
    </row>
    <row r="1075" spans="1:4" x14ac:dyDescent="0.3">
      <c r="A1075" s="294"/>
      <c r="B1075" s="294"/>
      <c r="D1075" s="294"/>
    </row>
    <row r="1076" spans="1:4" x14ac:dyDescent="0.3">
      <c r="A1076" s="294"/>
      <c r="B1076" s="294"/>
      <c r="D1076" s="294"/>
    </row>
    <row r="1077" spans="1:4" x14ac:dyDescent="0.3">
      <c r="A1077" s="294"/>
      <c r="B1077" s="294"/>
      <c r="D1077" s="294"/>
    </row>
    <row r="1078" spans="1:4" x14ac:dyDescent="0.3">
      <c r="A1078" s="294"/>
      <c r="B1078" s="294"/>
      <c r="D1078" s="294"/>
    </row>
    <row r="1079" spans="1:4" x14ac:dyDescent="0.3">
      <c r="A1079" s="294"/>
      <c r="B1079" s="294"/>
      <c r="D1079" s="294"/>
    </row>
    <row r="1080" spans="1:4" x14ac:dyDescent="0.3">
      <c r="A1080" s="294"/>
      <c r="B1080" s="294"/>
      <c r="D1080" s="294"/>
    </row>
    <row r="1081" spans="1:4" x14ac:dyDescent="0.3">
      <c r="A1081" s="294"/>
      <c r="B1081" s="294"/>
      <c r="D1081" s="294"/>
    </row>
    <row r="1082" spans="1:4" x14ac:dyDescent="0.3">
      <c r="A1082" s="294"/>
      <c r="B1082" s="294"/>
      <c r="D1082" s="294"/>
    </row>
    <row r="1083" spans="1:4" x14ac:dyDescent="0.3">
      <c r="A1083" s="294"/>
      <c r="B1083" s="294"/>
      <c r="D1083" s="294"/>
    </row>
    <row r="1084" spans="1:4" x14ac:dyDescent="0.3">
      <c r="A1084" s="294"/>
      <c r="B1084" s="294"/>
      <c r="D1084" s="294"/>
    </row>
    <row r="1085" spans="1:4" x14ac:dyDescent="0.3">
      <c r="A1085" s="294"/>
      <c r="B1085" s="294"/>
      <c r="D1085" s="294"/>
    </row>
    <row r="1086" spans="1:4" x14ac:dyDescent="0.3">
      <c r="A1086" s="294"/>
      <c r="B1086" s="294"/>
      <c r="D1086" s="294"/>
    </row>
    <row r="1087" spans="1:4" x14ac:dyDescent="0.3">
      <c r="A1087" s="294"/>
      <c r="B1087" s="294"/>
      <c r="D1087" s="294"/>
    </row>
    <row r="1088" spans="1:4" x14ac:dyDescent="0.3">
      <c r="A1088" s="294"/>
      <c r="B1088" s="294"/>
      <c r="D1088" s="294"/>
    </row>
    <row r="1089" spans="1:4" x14ac:dyDescent="0.3">
      <c r="A1089" s="294"/>
      <c r="B1089" s="294"/>
      <c r="D1089" s="294"/>
    </row>
    <row r="1090" spans="1:4" x14ac:dyDescent="0.3">
      <c r="A1090" s="294"/>
      <c r="B1090" s="294"/>
      <c r="D1090" s="294"/>
    </row>
    <row r="1091" spans="1:4" x14ac:dyDescent="0.3">
      <c r="A1091" s="294"/>
      <c r="B1091" s="294"/>
      <c r="D1091" s="294"/>
    </row>
    <row r="1092" spans="1:4" x14ac:dyDescent="0.3">
      <c r="A1092" s="294"/>
      <c r="B1092" s="294"/>
      <c r="D1092" s="294"/>
    </row>
    <row r="1093" spans="1:4" x14ac:dyDescent="0.3">
      <c r="A1093" s="294"/>
      <c r="B1093" s="294"/>
      <c r="D1093" s="294"/>
    </row>
    <row r="1094" spans="1:4" x14ac:dyDescent="0.3">
      <c r="A1094" s="294"/>
      <c r="B1094" s="294"/>
      <c r="D1094" s="294"/>
    </row>
    <row r="1095" spans="1:4" x14ac:dyDescent="0.3">
      <c r="A1095" s="294"/>
      <c r="B1095" s="294"/>
      <c r="D1095" s="294"/>
    </row>
    <row r="1096" spans="1:4" x14ac:dyDescent="0.3">
      <c r="A1096" s="294"/>
      <c r="B1096" s="294"/>
      <c r="D1096" s="294"/>
    </row>
    <row r="1097" spans="1:4" x14ac:dyDescent="0.3">
      <c r="A1097" s="294"/>
      <c r="B1097" s="294"/>
      <c r="D1097" s="294"/>
    </row>
    <row r="1098" spans="1:4" x14ac:dyDescent="0.3">
      <c r="A1098" s="294"/>
      <c r="B1098" s="294"/>
      <c r="D1098" s="294"/>
    </row>
    <row r="1099" spans="1:4" x14ac:dyDescent="0.3">
      <c r="A1099" s="294"/>
      <c r="B1099" s="294"/>
      <c r="D1099" s="294"/>
    </row>
    <row r="1100" spans="1:4" x14ac:dyDescent="0.3">
      <c r="A1100" s="294"/>
      <c r="B1100" s="294"/>
      <c r="D1100" s="294"/>
    </row>
    <row r="1101" spans="1:4" x14ac:dyDescent="0.3">
      <c r="A1101" s="294"/>
      <c r="B1101" s="294"/>
      <c r="D1101" s="294"/>
    </row>
    <row r="1102" spans="1:4" x14ac:dyDescent="0.3">
      <c r="A1102" s="294"/>
      <c r="B1102" s="294"/>
      <c r="D1102" s="294"/>
    </row>
    <row r="1103" spans="1:4" x14ac:dyDescent="0.3">
      <c r="A1103" s="294"/>
      <c r="B1103" s="294"/>
      <c r="D1103" s="294"/>
    </row>
    <row r="1104" spans="1:4" x14ac:dyDescent="0.3">
      <c r="A1104" s="294"/>
      <c r="B1104" s="294"/>
      <c r="D1104" s="294"/>
    </row>
    <row r="1105" spans="1:4" x14ac:dyDescent="0.3">
      <c r="A1105" s="294"/>
      <c r="B1105" s="294"/>
      <c r="D1105" s="294"/>
    </row>
    <row r="1106" spans="1:4" x14ac:dyDescent="0.3">
      <c r="A1106" s="294"/>
      <c r="B1106" s="294"/>
      <c r="D1106" s="294"/>
    </row>
    <row r="1107" spans="1:4" x14ac:dyDescent="0.3">
      <c r="A1107" s="294"/>
      <c r="B1107" s="294"/>
      <c r="D1107" s="294"/>
    </row>
    <row r="1108" spans="1:4" x14ac:dyDescent="0.3">
      <c r="A1108" s="294"/>
      <c r="B1108" s="294"/>
      <c r="D1108" s="294"/>
    </row>
    <row r="1109" spans="1:4" x14ac:dyDescent="0.3">
      <c r="A1109" s="294"/>
      <c r="B1109" s="294"/>
      <c r="D1109" s="294"/>
    </row>
    <row r="1110" spans="1:4" x14ac:dyDescent="0.3">
      <c r="A1110" s="294"/>
      <c r="B1110" s="294"/>
      <c r="D1110" s="294"/>
    </row>
    <row r="1111" spans="1:4" x14ac:dyDescent="0.3">
      <c r="A1111" s="294"/>
      <c r="B1111" s="294"/>
      <c r="D1111" s="294"/>
    </row>
    <row r="1112" spans="1:4" x14ac:dyDescent="0.3">
      <c r="A1112" s="294"/>
      <c r="B1112" s="294"/>
      <c r="D1112" s="294"/>
    </row>
    <row r="1113" spans="1:4" x14ac:dyDescent="0.3">
      <c r="A1113" s="294"/>
      <c r="B1113" s="294"/>
      <c r="D1113" s="294"/>
    </row>
    <row r="1114" spans="1:4" x14ac:dyDescent="0.3">
      <c r="A1114" s="294"/>
      <c r="B1114" s="294"/>
      <c r="D1114" s="294"/>
    </row>
    <row r="1115" spans="1:4" x14ac:dyDescent="0.3">
      <c r="A1115" s="294"/>
      <c r="B1115" s="294"/>
      <c r="D1115" s="294"/>
    </row>
    <row r="1116" spans="1:4" x14ac:dyDescent="0.3">
      <c r="A1116" s="294"/>
      <c r="B1116" s="294"/>
      <c r="D1116" s="294"/>
    </row>
    <row r="1117" spans="1:4" x14ac:dyDescent="0.3">
      <c r="A1117" s="294"/>
      <c r="B1117" s="294"/>
      <c r="D1117" s="294"/>
    </row>
    <row r="1118" spans="1:4" x14ac:dyDescent="0.3">
      <c r="A1118" s="294"/>
      <c r="B1118" s="294"/>
      <c r="D1118" s="294"/>
    </row>
    <row r="1119" spans="1:4" x14ac:dyDescent="0.3">
      <c r="A1119" s="294"/>
      <c r="B1119" s="294"/>
      <c r="D1119" s="294"/>
    </row>
    <row r="1120" spans="1:4" x14ac:dyDescent="0.3">
      <c r="A1120" s="294"/>
      <c r="B1120" s="294"/>
      <c r="D1120" s="294"/>
    </row>
    <row r="1121" spans="1:4" x14ac:dyDescent="0.3">
      <c r="A1121" s="294"/>
      <c r="B1121" s="294"/>
      <c r="D1121" s="294"/>
    </row>
    <row r="1122" spans="1:4" x14ac:dyDescent="0.3">
      <c r="A1122" s="294"/>
      <c r="B1122" s="294"/>
      <c r="D1122" s="294"/>
    </row>
    <row r="1123" spans="1:4" x14ac:dyDescent="0.3">
      <c r="A1123" s="294"/>
      <c r="B1123" s="294"/>
      <c r="D1123" s="294"/>
    </row>
    <row r="1124" spans="1:4" x14ac:dyDescent="0.3">
      <c r="A1124" s="294"/>
      <c r="B1124" s="294"/>
      <c r="D1124" s="294"/>
    </row>
    <row r="1125" spans="1:4" x14ac:dyDescent="0.3">
      <c r="A1125" s="294"/>
      <c r="B1125" s="294"/>
      <c r="D1125" s="294"/>
    </row>
    <row r="1126" spans="1:4" x14ac:dyDescent="0.3">
      <c r="A1126" s="294"/>
      <c r="B1126" s="294"/>
      <c r="D1126" s="294"/>
    </row>
    <row r="1127" spans="1:4" x14ac:dyDescent="0.3">
      <c r="A1127" s="294"/>
      <c r="B1127" s="294"/>
      <c r="D1127" s="294"/>
    </row>
    <row r="1128" spans="1:4" x14ac:dyDescent="0.3">
      <c r="A1128" s="294"/>
      <c r="B1128" s="294"/>
      <c r="D1128" s="294"/>
    </row>
    <row r="1129" spans="1:4" x14ac:dyDescent="0.3">
      <c r="A1129" s="294"/>
      <c r="B1129" s="294"/>
      <c r="D1129" s="294"/>
    </row>
    <row r="1130" spans="1:4" x14ac:dyDescent="0.3">
      <c r="A1130" s="294"/>
      <c r="B1130" s="294"/>
      <c r="D1130" s="294"/>
    </row>
    <row r="1131" spans="1:4" x14ac:dyDescent="0.3">
      <c r="A1131" s="294"/>
      <c r="B1131" s="294"/>
      <c r="D1131" s="294"/>
    </row>
    <row r="1132" spans="1:4" x14ac:dyDescent="0.3">
      <c r="A1132" s="294"/>
      <c r="B1132" s="294"/>
      <c r="D1132" s="294"/>
    </row>
    <row r="1133" spans="1:4" x14ac:dyDescent="0.3">
      <c r="A1133" s="294"/>
      <c r="B1133" s="294"/>
      <c r="D1133" s="294"/>
    </row>
    <row r="1134" spans="1:4" x14ac:dyDescent="0.3">
      <c r="A1134" s="294"/>
      <c r="B1134" s="294"/>
      <c r="D1134" s="294"/>
    </row>
    <row r="1135" spans="1:4" x14ac:dyDescent="0.3">
      <c r="A1135" s="294"/>
      <c r="B1135" s="294"/>
      <c r="D1135" s="294"/>
    </row>
    <row r="1136" spans="1:4" x14ac:dyDescent="0.3">
      <c r="A1136" s="294"/>
      <c r="B1136" s="294"/>
      <c r="D1136" s="294"/>
    </row>
    <row r="1137" spans="1:4" x14ac:dyDescent="0.3">
      <c r="A1137" s="294"/>
      <c r="B1137" s="294"/>
      <c r="D1137" s="294"/>
    </row>
    <row r="1138" spans="1:4" x14ac:dyDescent="0.3">
      <c r="A1138" s="294"/>
      <c r="B1138" s="294"/>
      <c r="D1138" s="294"/>
    </row>
    <row r="1139" spans="1:4" x14ac:dyDescent="0.3">
      <c r="A1139" s="294"/>
      <c r="B1139" s="294"/>
      <c r="D1139" s="294"/>
    </row>
    <row r="1140" spans="1:4" x14ac:dyDescent="0.3">
      <c r="A1140" s="294"/>
      <c r="B1140" s="294"/>
      <c r="D1140" s="294"/>
    </row>
    <row r="1141" spans="1:4" x14ac:dyDescent="0.3">
      <c r="A1141" s="294"/>
      <c r="B1141" s="294"/>
      <c r="D1141" s="294"/>
    </row>
    <row r="1142" spans="1:4" x14ac:dyDescent="0.3">
      <c r="A1142" s="294"/>
      <c r="B1142" s="294"/>
      <c r="D1142" s="294"/>
    </row>
    <row r="1143" spans="1:4" x14ac:dyDescent="0.3">
      <c r="A1143" s="294"/>
      <c r="B1143" s="294"/>
      <c r="D1143" s="294"/>
    </row>
    <row r="1144" spans="1:4" x14ac:dyDescent="0.3">
      <c r="A1144" s="294"/>
      <c r="B1144" s="294"/>
      <c r="D1144" s="294"/>
    </row>
    <row r="1145" spans="1:4" x14ac:dyDescent="0.3">
      <c r="A1145" s="294"/>
      <c r="B1145" s="294"/>
      <c r="D1145" s="294"/>
    </row>
    <row r="1146" spans="1:4" x14ac:dyDescent="0.3">
      <c r="A1146" s="294"/>
      <c r="B1146" s="294"/>
      <c r="D1146" s="294"/>
    </row>
    <row r="1147" spans="1:4" x14ac:dyDescent="0.3">
      <c r="A1147" s="294"/>
      <c r="B1147" s="294"/>
      <c r="D1147" s="294"/>
    </row>
    <row r="1148" spans="1:4" x14ac:dyDescent="0.3">
      <c r="A1148" s="294"/>
      <c r="B1148" s="294"/>
      <c r="D1148" s="294"/>
    </row>
    <row r="1149" spans="1:4" x14ac:dyDescent="0.3">
      <c r="A1149" s="294"/>
      <c r="B1149" s="294"/>
      <c r="D1149" s="294"/>
    </row>
    <row r="1150" spans="1:4" x14ac:dyDescent="0.3">
      <c r="A1150" s="294"/>
      <c r="B1150" s="294"/>
      <c r="D1150" s="294"/>
    </row>
    <row r="1151" spans="1:4" x14ac:dyDescent="0.3">
      <c r="A1151" s="294"/>
      <c r="B1151" s="294"/>
      <c r="D1151" s="294"/>
    </row>
    <row r="1152" spans="1:4" x14ac:dyDescent="0.3">
      <c r="A1152" s="294"/>
      <c r="B1152" s="294"/>
      <c r="D1152" s="294"/>
    </row>
    <row r="1153" spans="1:4" x14ac:dyDescent="0.3">
      <c r="A1153" s="294"/>
      <c r="B1153" s="294"/>
      <c r="D1153" s="294"/>
    </row>
    <row r="1154" spans="1:4" x14ac:dyDescent="0.3">
      <c r="A1154" s="294"/>
      <c r="B1154" s="294"/>
      <c r="D1154" s="294"/>
    </row>
    <row r="1155" spans="1:4" x14ac:dyDescent="0.3">
      <c r="A1155" s="294"/>
      <c r="B1155" s="294"/>
      <c r="D1155" s="294"/>
    </row>
    <row r="1156" spans="1:4" x14ac:dyDescent="0.3">
      <c r="A1156" s="294"/>
      <c r="B1156" s="294"/>
      <c r="D1156" s="294"/>
    </row>
    <row r="1157" spans="1:4" x14ac:dyDescent="0.3">
      <c r="A1157" s="294"/>
      <c r="B1157" s="294"/>
      <c r="D1157" s="294"/>
    </row>
    <row r="1158" spans="1:4" x14ac:dyDescent="0.3">
      <c r="A1158" s="294"/>
      <c r="B1158" s="294"/>
      <c r="D1158" s="294"/>
    </row>
    <row r="1159" spans="1:4" x14ac:dyDescent="0.3">
      <c r="A1159" s="294"/>
      <c r="B1159" s="294"/>
      <c r="D1159" s="294"/>
    </row>
    <row r="1160" spans="1:4" x14ac:dyDescent="0.3">
      <c r="A1160" s="294"/>
      <c r="B1160" s="294"/>
      <c r="D1160" s="294"/>
    </row>
    <row r="1161" spans="1:4" x14ac:dyDescent="0.3">
      <c r="A1161" s="294"/>
      <c r="B1161" s="294"/>
      <c r="D1161" s="294"/>
    </row>
    <row r="1162" spans="1:4" x14ac:dyDescent="0.3">
      <c r="A1162" s="294"/>
      <c r="B1162" s="294"/>
      <c r="D1162" s="294"/>
    </row>
    <row r="1163" spans="1:4" x14ac:dyDescent="0.3">
      <c r="A1163" s="294"/>
      <c r="B1163" s="294"/>
      <c r="D1163" s="294"/>
    </row>
    <row r="1164" spans="1:4" x14ac:dyDescent="0.3">
      <c r="A1164" s="294"/>
      <c r="B1164" s="294"/>
      <c r="D1164" s="294"/>
    </row>
    <row r="1165" spans="1:4" x14ac:dyDescent="0.3">
      <c r="A1165" s="294"/>
      <c r="B1165" s="294"/>
      <c r="D1165" s="294"/>
    </row>
    <row r="1166" spans="1:4" x14ac:dyDescent="0.3">
      <c r="A1166" s="294"/>
      <c r="B1166" s="294"/>
      <c r="D1166" s="294"/>
    </row>
    <row r="1167" spans="1:4" x14ac:dyDescent="0.3">
      <c r="A1167" s="294"/>
      <c r="B1167" s="294"/>
      <c r="D1167" s="294"/>
    </row>
    <row r="1168" spans="1:4" x14ac:dyDescent="0.3">
      <c r="A1168" s="294"/>
      <c r="B1168" s="294"/>
      <c r="D1168" s="294"/>
    </row>
    <row r="1169" spans="1:4" x14ac:dyDescent="0.3">
      <c r="A1169" s="294"/>
      <c r="B1169" s="294"/>
      <c r="D1169" s="294"/>
    </row>
    <row r="1170" spans="1:4" x14ac:dyDescent="0.3">
      <c r="A1170" s="294"/>
      <c r="B1170" s="294"/>
      <c r="D1170" s="294"/>
    </row>
    <row r="1171" spans="1:4" x14ac:dyDescent="0.3">
      <c r="A1171" s="294"/>
      <c r="B1171" s="294"/>
      <c r="D1171" s="294"/>
    </row>
    <row r="1172" spans="1:4" x14ac:dyDescent="0.3">
      <c r="A1172" s="294"/>
      <c r="B1172" s="294"/>
      <c r="D1172" s="294"/>
    </row>
    <row r="1173" spans="1:4" x14ac:dyDescent="0.3">
      <c r="A1173" s="294"/>
      <c r="B1173" s="294"/>
      <c r="D1173" s="294"/>
    </row>
    <row r="1174" spans="1:4" x14ac:dyDescent="0.3">
      <c r="A1174" s="294"/>
      <c r="B1174" s="294"/>
      <c r="D1174" s="294"/>
    </row>
    <row r="1175" spans="1:4" x14ac:dyDescent="0.3">
      <c r="A1175" s="294"/>
      <c r="B1175" s="294"/>
      <c r="D1175" s="294"/>
    </row>
    <row r="1176" spans="1:4" x14ac:dyDescent="0.3">
      <c r="A1176" s="294"/>
      <c r="B1176" s="294"/>
      <c r="D1176" s="294"/>
    </row>
    <row r="1177" spans="1:4" x14ac:dyDescent="0.3">
      <c r="A1177" s="294"/>
      <c r="B1177" s="294"/>
      <c r="D1177" s="294"/>
    </row>
    <row r="1178" spans="1:4" x14ac:dyDescent="0.3">
      <c r="A1178" s="294"/>
      <c r="B1178" s="294"/>
      <c r="D1178" s="294"/>
    </row>
    <row r="1179" spans="1:4" x14ac:dyDescent="0.3">
      <c r="A1179" s="294"/>
      <c r="B1179" s="294"/>
      <c r="D1179" s="294"/>
    </row>
    <row r="1180" spans="1:4" x14ac:dyDescent="0.3">
      <c r="A1180" s="294"/>
      <c r="B1180" s="294"/>
      <c r="D1180" s="294"/>
    </row>
    <row r="1181" spans="1:4" x14ac:dyDescent="0.3">
      <c r="A1181" s="294"/>
      <c r="B1181" s="294"/>
      <c r="D1181" s="294"/>
    </row>
    <row r="1182" spans="1:4" x14ac:dyDescent="0.3">
      <c r="A1182" s="294"/>
      <c r="B1182" s="294"/>
      <c r="D1182" s="294"/>
    </row>
    <row r="1183" spans="1:4" x14ac:dyDescent="0.3">
      <c r="A1183" s="294"/>
      <c r="B1183" s="294"/>
      <c r="D1183" s="294"/>
    </row>
    <row r="1184" spans="1:4" x14ac:dyDescent="0.3">
      <c r="A1184" s="294"/>
      <c r="B1184" s="294"/>
      <c r="D1184" s="294"/>
    </row>
    <row r="1185" spans="1:4" x14ac:dyDescent="0.3">
      <c r="A1185" s="294"/>
      <c r="B1185" s="294"/>
      <c r="D1185" s="294"/>
    </row>
    <row r="1186" spans="1:4" x14ac:dyDescent="0.3">
      <c r="A1186" s="294"/>
      <c r="B1186" s="294"/>
      <c r="D1186" s="294"/>
    </row>
    <row r="1187" spans="1:4" x14ac:dyDescent="0.3">
      <c r="A1187" s="294"/>
      <c r="B1187" s="294"/>
      <c r="D1187" s="294"/>
    </row>
    <row r="1188" spans="1:4" x14ac:dyDescent="0.3">
      <c r="A1188" s="294"/>
      <c r="B1188" s="294"/>
      <c r="D1188" s="294"/>
    </row>
    <row r="1189" spans="1:4" x14ac:dyDescent="0.3">
      <c r="A1189" s="294"/>
      <c r="B1189" s="294"/>
      <c r="D1189" s="294"/>
    </row>
    <row r="1190" spans="1:4" x14ac:dyDescent="0.3">
      <c r="A1190" s="294"/>
      <c r="B1190" s="294"/>
      <c r="D1190" s="294"/>
    </row>
    <row r="1191" spans="1:4" x14ac:dyDescent="0.3">
      <c r="A1191" s="294"/>
      <c r="B1191" s="294"/>
      <c r="D1191" s="294"/>
    </row>
    <row r="1192" spans="1:4" x14ac:dyDescent="0.3">
      <c r="A1192" s="294"/>
      <c r="B1192" s="294"/>
      <c r="D1192" s="294"/>
    </row>
  </sheetData>
  <mergeCells count="3">
    <mergeCell ref="A1:E1"/>
    <mergeCell ref="A2:E2"/>
    <mergeCell ref="A5:E5"/>
  </mergeCells>
  <hyperlinks>
    <hyperlink ref="G1" location="Indice!D45" display="Indice" xr:uid="{DE7B4094-7202-7547-A100-F44B79857B99}"/>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3A5C11-7B52-47DB-8EA9-0711085BBA82}">
  <dimension ref="A1"/>
  <sheetViews>
    <sheetView workbookViewId="0">
      <selection activeCell="D196" sqref="D196"/>
    </sheetView>
  </sheetViews>
  <sheetFormatPr baseColWidth="10" defaultRowHeight="15.6" x14ac:dyDescent="0.3"/>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0221DB-7BF2-B848-8527-67199864C234}">
  <sheetPr>
    <tabColor theme="9" tint="-0.249977111117893"/>
  </sheetPr>
  <dimension ref="B6:H62"/>
  <sheetViews>
    <sheetView showGridLines="0" tabSelected="1" workbookViewId="0">
      <selection activeCell="H16" sqref="H16"/>
    </sheetView>
  </sheetViews>
  <sheetFormatPr baseColWidth="10" defaultColWidth="10" defaultRowHeight="13.2" x14ac:dyDescent="0.25"/>
  <cols>
    <col min="1" max="1" width="4.5" style="1" customWidth="1"/>
    <col min="2" max="2" width="16.09765625" style="1" customWidth="1"/>
    <col min="3" max="3" width="15.09765625" style="1" customWidth="1"/>
    <col min="4" max="4" width="13.59765625" style="1" customWidth="1"/>
    <col min="5" max="5" width="15.5" style="1" customWidth="1"/>
    <col min="6" max="6" width="17.5" style="1" customWidth="1"/>
    <col min="7" max="7" width="16.59765625" style="1" customWidth="1"/>
    <col min="8" max="8" width="13.09765625" style="1" customWidth="1"/>
    <col min="9" max="9" width="16.09765625" style="1" bestFit="1" customWidth="1"/>
    <col min="10" max="16384" width="10" style="1"/>
  </cols>
  <sheetData>
    <row r="6" spans="2:7" ht="13.8" thickBot="1" x14ac:dyDescent="0.3"/>
    <row r="7" spans="2:7" ht="13.8" thickTop="1" x14ac:dyDescent="0.25">
      <c r="B7" s="2"/>
      <c r="C7" s="2"/>
      <c r="D7" s="2"/>
      <c r="E7" s="2"/>
      <c r="F7" s="2"/>
    </row>
    <row r="8" spans="2:7" ht="13.8" x14ac:dyDescent="0.25">
      <c r="B8" s="578" t="s">
        <v>0</v>
      </c>
      <c r="C8" s="578"/>
      <c r="D8" s="578"/>
      <c r="E8" s="578"/>
      <c r="F8" s="578"/>
      <c r="G8" s="3"/>
    </row>
    <row r="9" spans="2:7" x14ac:dyDescent="0.25">
      <c r="B9" s="4"/>
    </row>
    <row r="10" spans="2:7" x14ac:dyDescent="0.25">
      <c r="B10" s="5"/>
    </row>
    <row r="11" spans="2:7" x14ac:dyDescent="0.25">
      <c r="B11" s="579" t="s">
        <v>1514</v>
      </c>
      <c r="C11" s="579"/>
      <c r="D11" s="579"/>
      <c r="E11" s="579"/>
      <c r="F11" s="579"/>
      <c r="G11" s="6"/>
    </row>
    <row r="12" spans="2:7" x14ac:dyDescent="0.25">
      <c r="B12" s="7"/>
    </row>
    <row r="13" spans="2:7" ht="14.4" thickBot="1" x14ac:dyDescent="0.3">
      <c r="B13" s="8" t="s">
        <v>1</v>
      </c>
      <c r="C13" s="8"/>
      <c r="D13" s="9"/>
      <c r="E13" s="9"/>
      <c r="F13" s="10"/>
    </row>
    <row r="14" spans="2:7" x14ac:dyDescent="0.25">
      <c r="B14" s="7"/>
    </row>
    <row r="15" spans="2:7" ht="14.4" thickBot="1" x14ac:dyDescent="0.3">
      <c r="B15" s="575" t="s">
        <v>2</v>
      </c>
      <c r="C15" s="575"/>
      <c r="D15" s="575"/>
      <c r="E15" s="575"/>
      <c r="F15" s="575"/>
    </row>
    <row r="16" spans="2:7" x14ac:dyDescent="0.25">
      <c r="B16" s="7"/>
    </row>
    <row r="17" spans="2:8" ht="14.4" thickBot="1" x14ac:dyDescent="0.3">
      <c r="B17" s="580" t="s">
        <v>519</v>
      </c>
      <c r="C17" s="575"/>
      <c r="D17" s="575"/>
      <c r="E17" s="575"/>
      <c r="F17" s="575"/>
    </row>
    <row r="18" spans="2:8" x14ac:dyDescent="0.25">
      <c r="B18" s="7"/>
    </row>
    <row r="19" spans="2:8" ht="14.4" thickBot="1" x14ac:dyDescent="0.3">
      <c r="B19" s="575" t="s">
        <v>3</v>
      </c>
      <c r="C19" s="575"/>
      <c r="D19" s="575"/>
      <c r="E19" s="575"/>
      <c r="F19" s="575"/>
      <c r="G19" s="11"/>
    </row>
    <row r="20" spans="2:8" x14ac:dyDescent="0.25">
      <c r="B20" s="7"/>
    </row>
    <row r="21" spans="2:8" ht="14.4" thickBot="1" x14ac:dyDescent="0.3">
      <c r="B21" s="581" t="s">
        <v>4</v>
      </c>
      <c r="C21" s="581"/>
      <c r="D21" s="581"/>
      <c r="E21" s="581"/>
      <c r="F21" s="581"/>
      <c r="G21" s="11"/>
    </row>
    <row r="22" spans="2:8" ht="13.8" x14ac:dyDescent="0.25">
      <c r="B22" s="12"/>
      <c r="C22" s="12"/>
      <c r="D22" s="12"/>
      <c r="E22" s="12"/>
      <c r="F22" s="12"/>
      <c r="G22" s="11"/>
    </row>
    <row r="23" spans="2:8" ht="45.9" customHeight="1" thickBot="1" x14ac:dyDescent="0.3">
      <c r="B23" s="581" t="s">
        <v>5</v>
      </c>
      <c r="C23" s="581"/>
      <c r="D23" s="581"/>
      <c r="E23" s="581"/>
      <c r="F23" s="581"/>
      <c r="G23" s="3"/>
    </row>
    <row r="24" spans="2:8" x14ac:dyDescent="0.25">
      <c r="B24" s="5" t="s">
        <v>6</v>
      </c>
    </row>
    <row r="25" spans="2:8" ht="14.4" thickBot="1" x14ac:dyDescent="0.3">
      <c r="B25" s="575" t="s">
        <v>7</v>
      </c>
      <c r="C25" s="575"/>
      <c r="D25" s="575"/>
      <c r="E25" s="575"/>
      <c r="F25" s="575"/>
      <c r="G25" s="11"/>
    </row>
    <row r="26" spans="2:8" x14ac:dyDescent="0.25">
      <c r="B26" s="7"/>
    </row>
    <row r="27" spans="2:8" ht="14.4" thickBot="1" x14ac:dyDescent="0.3">
      <c r="B27" s="575" t="s">
        <v>8</v>
      </c>
      <c r="C27" s="575"/>
      <c r="D27" s="575"/>
      <c r="E27" s="575"/>
      <c r="F27" s="575"/>
      <c r="G27" s="11"/>
      <c r="H27" s="11"/>
    </row>
    <row r="29" spans="2:8" ht="14.4" thickBot="1" x14ac:dyDescent="0.3">
      <c r="B29" s="575" t="s">
        <v>9</v>
      </c>
      <c r="C29" s="575"/>
      <c r="D29" s="575"/>
      <c r="E29" s="575"/>
      <c r="F29" s="575"/>
      <c r="G29" s="11"/>
      <c r="H29" s="11"/>
    </row>
    <row r="31" spans="2:8" x14ac:dyDescent="0.25">
      <c r="B31" s="13" t="s">
        <v>10</v>
      </c>
      <c r="C31" s="582" t="s">
        <v>11</v>
      </c>
      <c r="D31" s="582"/>
      <c r="E31" s="582"/>
      <c r="F31" s="582"/>
    </row>
    <row r="32" spans="2:8" x14ac:dyDescent="0.25">
      <c r="B32" s="14" t="s">
        <v>12</v>
      </c>
      <c r="C32" s="574" t="s">
        <v>13</v>
      </c>
      <c r="D32" s="574"/>
      <c r="E32" s="574"/>
      <c r="F32" s="574"/>
    </row>
    <row r="33" spans="2:8" x14ac:dyDescent="0.25">
      <c r="B33" s="14" t="s">
        <v>14</v>
      </c>
      <c r="C33" s="574" t="s">
        <v>15</v>
      </c>
      <c r="D33" s="574"/>
      <c r="E33" s="574"/>
      <c r="F33" s="574"/>
    </row>
    <row r="34" spans="2:8" x14ac:dyDescent="0.25">
      <c r="B34" s="14" t="s">
        <v>16</v>
      </c>
      <c r="C34" s="574" t="s">
        <v>17</v>
      </c>
      <c r="D34" s="574"/>
      <c r="E34" s="574"/>
      <c r="F34" s="574"/>
    </row>
    <row r="35" spans="2:8" x14ac:dyDescent="0.25">
      <c r="B35" s="14" t="s">
        <v>18</v>
      </c>
      <c r="C35" s="574" t="s">
        <v>19</v>
      </c>
      <c r="D35" s="574"/>
      <c r="E35" s="574"/>
      <c r="F35" s="574"/>
    </row>
    <row r="36" spans="2:8" x14ac:dyDescent="0.25">
      <c r="B36" s="15"/>
      <c r="C36" s="16"/>
    </row>
    <row r="37" spans="2:8" ht="14.4" thickBot="1" x14ac:dyDescent="0.3">
      <c r="B37" s="575" t="s">
        <v>20</v>
      </c>
      <c r="C37" s="575"/>
      <c r="D37" s="575"/>
      <c r="E37" s="575"/>
      <c r="F37" s="575"/>
      <c r="G37" s="11"/>
    </row>
    <row r="38" spans="2:8" x14ac:dyDescent="0.25">
      <c r="B38" s="7"/>
    </row>
    <row r="39" spans="2:8" ht="14.4" thickBot="1" x14ac:dyDescent="0.3">
      <c r="B39" s="575" t="s">
        <v>21</v>
      </c>
      <c r="C39" s="575"/>
      <c r="D39" s="575"/>
      <c r="E39" s="575"/>
      <c r="F39" s="575"/>
      <c r="G39" s="11"/>
      <c r="H39" s="11"/>
    </row>
    <row r="40" spans="2:8" ht="13.8" thickBot="1" x14ac:dyDescent="0.3">
      <c r="B40" s="5"/>
    </row>
    <row r="41" spans="2:8" ht="26.4" x14ac:dyDescent="0.25">
      <c r="B41" s="17" t="s">
        <v>22</v>
      </c>
      <c r="C41" s="17" t="s">
        <v>23</v>
      </c>
      <c r="D41" s="17" t="s">
        <v>24</v>
      </c>
      <c r="E41" s="17" t="s">
        <v>25</v>
      </c>
      <c r="F41" s="17" t="s">
        <v>26</v>
      </c>
    </row>
    <row r="42" spans="2:8" ht="13.8" thickBot="1" x14ac:dyDescent="0.3">
      <c r="B42" s="18">
        <v>165600</v>
      </c>
      <c r="C42" s="19" t="s">
        <v>27</v>
      </c>
      <c r="D42" s="20">
        <v>165600</v>
      </c>
      <c r="E42" s="21">
        <f>+B42*1000000</f>
        <v>165600000000</v>
      </c>
      <c r="F42" s="21">
        <f>+E42</f>
        <v>165600000000</v>
      </c>
    </row>
    <row r="43" spans="2:8" ht="13.8" thickBot="1" x14ac:dyDescent="0.3">
      <c r="B43" s="18">
        <v>34400</v>
      </c>
      <c r="C43" s="19" t="s">
        <v>28</v>
      </c>
      <c r="D43" s="20">
        <v>34400</v>
      </c>
      <c r="E43" s="21">
        <f>+B43*1000000</f>
        <v>34400000000</v>
      </c>
      <c r="F43" s="21">
        <f>+E43</f>
        <v>34400000000</v>
      </c>
    </row>
    <row r="44" spans="2:8" ht="14.4" thickBot="1" x14ac:dyDescent="0.3">
      <c r="B44" s="22">
        <f>SUM(B42:B43)</f>
        <v>200000</v>
      </c>
      <c r="C44" s="576" t="s">
        <v>29</v>
      </c>
      <c r="D44" s="577"/>
      <c r="E44" s="23">
        <f>SUM(E42:E43)</f>
        <v>200000000000</v>
      </c>
      <c r="F44" s="23">
        <f>SUM(F42:F43)</f>
        <v>200000000000</v>
      </c>
    </row>
    <row r="47" spans="2:8" ht="14.4" thickBot="1" x14ac:dyDescent="0.3">
      <c r="B47" s="575" t="s">
        <v>30</v>
      </c>
      <c r="C47" s="575"/>
      <c r="D47" s="575"/>
      <c r="E47" s="575"/>
      <c r="F47" s="575"/>
      <c r="G47" s="575"/>
    </row>
    <row r="48" spans="2:8" ht="13.8" thickBot="1" x14ac:dyDescent="0.3"/>
    <row r="49" spans="2:8" ht="52.8" x14ac:dyDescent="0.25">
      <c r="B49" s="17" t="s">
        <v>31</v>
      </c>
      <c r="C49" s="17" t="s">
        <v>32</v>
      </c>
      <c r="D49" s="17" t="s">
        <v>33</v>
      </c>
      <c r="E49" s="17" t="s">
        <v>34</v>
      </c>
      <c r="F49" s="17" t="s">
        <v>35</v>
      </c>
      <c r="G49" s="17" t="s">
        <v>36</v>
      </c>
      <c r="H49" s="17" t="s">
        <v>37</v>
      </c>
    </row>
    <row r="50" spans="2:8" ht="27" thickBot="1" x14ac:dyDescent="0.3">
      <c r="B50" s="18" t="s">
        <v>38</v>
      </c>
      <c r="C50" s="20">
        <v>165600</v>
      </c>
      <c r="D50" s="19" t="s">
        <v>39</v>
      </c>
      <c r="E50" s="21">
        <v>1000000</v>
      </c>
      <c r="F50" s="21">
        <f>C50*E50</f>
        <v>165600000000</v>
      </c>
      <c r="G50" s="21">
        <f>+C50</f>
        <v>165600</v>
      </c>
      <c r="H50" s="24">
        <f>+(F50/F44)/10</f>
        <v>8.2799999999999999E-2</v>
      </c>
    </row>
    <row r="51" spans="2:8" ht="13.8" thickBot="1" x14ac:dyDescent="0.3">
      <c r="B51" s="18" t="s">
        <v>40</v>
      </c>
      <c r="C51" s="20">
        <v>34400</v>
      </c>
      <c r="D51" s="19" t="s">
        <v>39</v>
      </c>
      <c r="E51" s="21">
        <v>1000000</v>
      </c>
      <c r="F51" s="21">
        <f>C51*E51</f>
        <v>34400000000</v>
      </c>
      <c r="G51" s="21">
        <f>+C51</f>
        <v>34400</v>
      </c>
      <c r="H51" s="24">
        <f>+(F51/F44)/10</f>
        <v>1.72E-2</v>
      </c>
    </row>
    <row r="60" spans="2:8" x14ac:dyDescent="0.25">
      <c r="B60" s="573"/>
      <c r="C60" s="573"/>
      <c r="F60" s="573"/>
      <c r="G60" s="573"/>
    </row>
    <row r="61" spans="2:8" x14ac:dyDescent="0.25">
      <c r="B61" s="573"/>
      <c r="C61" s="573"/>
      <c r="F61" s="573"/>
      <c r="G61" s="573"/>
    </row>
    <row r="62" spans="2:8" x14ac:dyDescent="0.25">
      <c r="B62" s="573"/>
      <c r="C62" s="573"/>
      <c r="F62" s="573"/>
      <c r="G62" s="573"/>
    </row>
  </sheetData>
  <mergeCells count="25">
    <mergeCell ref="C32:F32"/>
    <mergeCell ref="B8:F8"/>
    <mergeCell ref="B11:F11"/>
    <mergeCell ref="B15:F15"/>
    <mergeCell ref="B17:F17"/>
    <mergeCell ref="B19:F19"/>
    <mergeCell ref="B21:F21"/>
    <mergeCell ref="B23:F23"/>
    <mergeCell ref="B25:F25"/>
    <mergeCell ref="B27:F27"/>
    <mergeCell ref="B29:F29"/>
    <mergeCell ref="C31:F31"/>
    <mergeCell ref="B62:C62"/>
    <mergeCell ref="F62:G62"/>
    <mergeCell ref="C33:F33"/>
    <mergeCell ref="C34:F34"/>
    <mergeCell ref="C35:F35"/>
    <mergeCell ref="B37:F37"/>
    <mergeCell ref="B39:F39"/>
    <mergeCell ref="C44:D44"/>
    <mergeCell ref="B47:G47"/>
    <mergeCell ref="B60:C60"/>
    <mergeCell ref="F60:G60"/>
    <mergeCell ref="B61:C61"/>
    <mergeCell ref="F61:G61"/>
  </mergeCells>
  <pageMargins left="0.7" right="0.7" top="0.75" bottom="0.75" header="0.3" footer="0.3"/>
  <drawing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96115E-979A-2346-979A-24CDA2EE1E85}">
  <sheetPr>
    <tabColor theme="4" tint="0.39997558519241921"/>
  </sheetPr>
  <dimension ref="A1:T45"/>
  <sheetViews>
    <sheetView showGridLines="0" topLeftCell="A23" workbookViewId="0">
      <selection activeCell="D7" sqref="D7"/>
    </sheetView>
  </sheetViews>
  <sheetFormatPr baseColWidth="10" defaultColWidth="11" defaultRowHeight="13.2" x14ac:dyDescent="0.25"/>
  <cols>
    <col min="1" max="1" width="17.09765625" style="28" bestFit="1" customWidth="1"/>
    <col min="2" max="2" width="33.59765625" style="28" bestFit="1" customWidth="1"/>
    <col min="3" max="3" width="53.59765625" style="28" bestFit="1" customWidth="1"/>
    <col min="4" max="4" width="8.8984375" style="28" bestFit="1" customWidth="1"/>
    <col min="5" max="18" width="11" style="28"/>
    <col min="19" max="19" width="2.59765625" style="28" bestFit="1" customWidth="1"/>
    <col min="20" max="20" width="9.09765625" style="28" bestFit="1" customWidth="1"/>
    <col min="21" max="16384" width="11" style="28"/>
  </cols>
  <sheetData>
    <row r="1" spans="1:20" x14ac:dyDescent="0.25">
      <c r="A1" s="25"/>
      <c r="B1" s="26"/>
      <c r="C1" s="26" t="s">
        <v>41</v>
      </c>
      <c r="D1" s="27" t="s">
        <v>42</v>
      </c>
      <c r="E1" s="25"/>
      <c r="F1" s="25"/>
      <c r="G1" s="25"/>
      <c r="H1" s="25"/>
      <c r="I1" s="25"/>
      <c r="J1" s="25"/>
      <c r="K1" s="25"/>
      <c r="L1" s="25"/>
      <c r="M1" s="25"/>
      <c r="N1" s="25"/>
      <c r="O1" s="25"/>
      <c r="P1" s="25"/>
      <c r="Q1" s="25"/>
      <c r="R1" s="25"/>
      <c r="S1" s="25"/>
      <c r="T1" s="25"/>
    </row>
    <row r="2" spans="1:20" x14ac:dyDescent="0.25">
      <c r="A2" s="25"/>
      <c r="B2" s="25"/>
      <c r="C2" s="25"/>
      <c r="D2" s="25"/>
      <c r="E2" s="25"/>
      <c r="F2" s="25"/>
      <c r="G2" s="25"/>
      <c r="H2" s="25"/>
      <c r="I2" s="25"/>
      <c r="J2" s="25"/>
      <c r="K2" s="25"/>
      <c r="L2" s="25"/>
      <c r="M2" s="25"/>
      <c r="N2" s="25"/>
      <c r="O2" s="25"/>
      <c r="P2" s="25"/>
      <c r="Q2" s="25"/>
      <c r="R2" s="25"/>
      <c r="S2" s="25">
        <v>1</v>
      </c>
      <c r="T2" s="25" t="s">
        <v>43</v>
      </c>
    </row>
    <row r="3" spans="1:20" x14ac:dyDescent="0.25">
      <c r="A3" s="25"/>
      <c r="B3" s="25"/>
      <c r="C3" s="25"/>
      <c r="D3" s="25"/>
      <c r="E3" s="25"/>
      <c r="F3" s="25"/>
      <c r="G3" s="25"/>
      <c r="H3" s="25"/>
      <c r="I3" s="25"/>
      <c r="J3" s="25"/>
      <c r="K3" s="25"/>
      <c r="L3" s="25"/>
      <c r="M3" s="25"/>
      <c r="N3" s="25"/>
      <c r="O3" s="25"/>
      <c r="P3" s="25"/>
      <c r="Q3" s="25"/>
      <c r="R3" s="25"/>
      <c r="S3" s="25">
        <v>2</v>
      </c>
      <c r="T3" s="25" t="s">
        <v>44</v>
      </c>
    </row>
    <row r="4" spans="1:20" x14ac:dyDescent="0.25">
      <c r="A4" s="25"/>
      <c r="B4" s="25"/>
      <c r="C4" s="25"/>
      <c r="D4" s="25"/>
      <c r="E4" s="25"/>
      <c r="F4" s="25"/>
      <c r="G4" s="25"/>
      <c r="H4" s="25"/>
      <c r="I4" s="25"/>
      <c r="J4" s="25"/>
      <c r="K4" s="25"/>
      <c r="L4" s="25"/>
      <c r="M4" s="25"/>
      <c r="N4" s="25"/>
      <c r="O4" s="25"/>
      <c r="P4" s="25"/>
      <c r="Q4" s="25"/>
      <c r="R4" s="25"/>
      <c r="S4" s="25">
        <v>3</v>
      </c>
      <c r="T4" s="25" t="s">
        <v>45</v>
      </c>
    </row>
    <row r="5" spans="1:20" x14ac:dyDescent="0.25">
      <c r="A5" s="25"/>
      <c r="B5" s="25"/>
      <c r="C5" s="25"/>
      <c r="D5" s="25"/>
      <c r="E5" s="25"/>
      <c r="F5" s="25"/>
      <c r="G5" s="25"/>
      <c r="H5" s="25"/>
      <c r="I5" s="25"/>
      <c r="J5" s="25"/>
      <c r="K5" s="25"/>
      <c r="L5" s="25"/>
      <c r="M5" s="25"/>
      <c r="N5" s="25"/>
      <c r="O5" s="25"/>
      <c r="P5" s="25"/>
      <c r="Q5" s="25"/>
      <c r="R5" s="25"/>
      <c r="S5" s="25">
        <v>4</v>
      </c>
      <c r="T5" s="25" t="s">
        <v>46</v>
      </c>
    </row>
    <row r="6" spans="1:20" x14ac:dyDescent="0.25">
      <c r="C6" s="26" t="s">
        <v>47</v>
      </c>
      <c r="D6" s="29">
        <v>45199</v>
      </c>
      <c r="E6" s="25"/>
      <c r="F6" s="25"/>
      <c r="G6" s="25"/>
      <c r="H6" s="25"/>
      <c r="I6" s="25"/>
      <c r="J6" s="25"/>
      <c r="K6" s="25"/>
      <c r="L6" s="25"/>
      <c r="M6" s="25"/>
      <c r="N6" s="25"/>
      <c r="O6" s="25"/>
      <c r="P6" s="25"/>
      <c r="Q6" s="25"/>
      <c r="R6" s="25"/>
      <c r="S6" s="25">
        <v>5</v>
      </c>
      <c r="T6" s="25" t="s">
        <v>48</v>
      </c>
    </row>
    <row r="7" spans="1:20" x14ac:dyDescent="0.25">
      <c r="A7" s="30"/>
      <c r="B7" s="25"/>
      <c r="C7" s="25"/>
      <c r="D7" s="25"/>
      <c r="E7" s="25"/>
      <c r="F7" s="25"/>
      <c r="G7" s="25"/>
      <c r="H7" s="25"/>
      <c r="I7" s="25"/>
      <c r="J7" s="25"/>
      <c r="K7" s="25"/>
      <c r="L7" s="25"/>
      <c r="M7" s="25"/>
      <c r="N7" s="25"/>
      <c r="O7" s="25"/>
      <c r="P7" s="25"/>
      <c r="Q7" s="25"/>
      <c r="R7" s="25"/>
      <c r="S7" s="25">
        <v>7</v>
      </c>
      <c r="T7" s="25" t="s">
        <v>49</v>
      </c>
    </row>
    <row r="8" spans="1:20" x14ac:dyDescent="0.25">
      <c r="A8" s="25"/>
      <c r="B8" s="31"/>
      <c r="C8" s="32" t="s">
        <v>50</v>
      </c>
      <c r="D8" s="33" t="s">
        <v>51</v>
      </c>
      <c r="E8" s="25"/>
      <c r="F8" s="25"/>
      <c r="G8" s="25"/>
      <c r="H8" s="25"/>
      <c r="I8" s="25"/>
      <c r="J8" s="25"/>
      <c r="K8" s="25"/>
      <c r="L8" s="25"/>
      <c r="M8" s="25"/>
      <c r="N8" s="25"/>
      <c r="O8" s="25"/>
      <c r="P8" s="25"/>
      <c r="Q8" s="25"/>
      <c r="R8" s="25"/>
      <c r="S8" s="25">
        <v>8</v>
      </c>
      <c r="T8" s="25" t="s">
        <v>52</v>
      </c>
    </row>
    <row r="9" spans="1:20" x14ac:dyDescent="0.25">
      <c r="A9" s="25"/>
      <c r="B9" s="34" t="s">
        <v>53</v>
      </c>
      <c r="C9" s="35"/>
      <c r="D9" s="36"/>
      <c r="E9" s="25"/>
      <c r="F9" s="25"/>
      <c r="G9" s="25"/>
      <c r="H9" s="25"/>
      <c r="I9" s="25"/>
      <c r="J9" s="25"/>
      <c r="K9" s="25"/>
      <c r="L9" s="25"/>
      <c r="M9" s="25"/>
      <c r="N9" s="25"/>
      <c r="O9" s="25"/>
      <c r="P9" s="25"/>
      <c r="Q9" s="25"/>
      <c r="R9" s="25"/>
      <c r="S9" s="25">
        <v>9</v>
      </c>
      <c r="T9" s="25" t="s">
        <v>54</v>
      </c>
    </row>
    <row r="10" spans="1:20" ht="15.6" x14ac:dyDescent="0.3">
      <c r="A10" s="37"/>
      <c r="B10" s="38"/>
      <c r="C10" s="39" t="s">
        <v>55</v>
      </c>
      <c r="D10" s="317" t="s">
        <v>56</v>
      </c>
      <c r="E10" s="25"/>
      <c r="F10" s="25"/>
      <c r="G10" s="25"/>
      <c r="H10" s="25"/>
      <c r="I10" s="25"/>
      <c r="J10" s="25"/>
      <c r="K10" s="25"/>
      <c r="L10" s="25"/>
      <c r="M10" s="25"/>
      <c r="N10" s="25"/>
      <c r="O10" s="25"/>
      <c r="P10" s="25"/>
      <c r="Q10" s="25"/>
      <c r="R10" s="25"/>
      <c r="S10" s="25">
        <v>10</v>
      </c>
      <c r="T10" s="25" t="s">
        <v>57</v>
      </c>
    </row>
    <row r="11" spans="1:20" ht="15.6" x14ac:dyDescent="0.3">
      <c r="A11" s="37"/>
      <c r="B11" s="38"/>
      <c r="C11" s="39" t="s">
        <v>58</v>
      </c>
      <c r="D11" s="318" t="s">
        <v>59</v>
      </c>
      <c r="E11" s="25"/>
      <c r="F11" s="25"/>
      <c r="G11" s="25"/>
      <c r="H11" s="25"/>
      <c r="I11" s="25"/>
      <c r="J11" s="25"/>
      <c r="K11" s="25"/>
      <c r="L11" s="25"/>
      <c r="M11" s="25"/>
      <c r="N11" s="25"/>
      <c r="O11" s="25"/>
      <c r="P11" s="25"/>
      <c r="Q11" s="25"/>
      <c r="R11" s="25"/>
      <c r="S11" s="25">
        <v>11</v>
      </c>
      <c r="T11" s="25" t="s">
        <v>60</v>
      </c>
    </row>
    <row r="12" spans="1:20" ht="15.6" x14ac:dyDescent="0.3">
      <c r="A12" s="37"/>
      <c r="B12" s="34" t="s">
        <v>61</v>
      </c>
      <c r="C12" s="39"/>
      <c r="D12" s="317" t="s">
        <v>62</v>
      </c>
      <c r="E12" s="25"/>
      <c r="F12" s="25"/>
      <c r="G12" s="25"/>
      <c r="H12" s="25"/>
      <c r="I12" s="25"/>
      <c r="J12" s="25"/>
      <c r="K12" s="25"/>
      <c r="L12" s="25"/>
      <c r="M12" s="25"/>
      <c r="N12" s="25"/>
      <c r="O12" s="25"/>
      <c r="P12" s="25"/>
      <c r="Q12" s="25"/>
      <c r="R12" s="25"/>
      <c r="S12" s="25">
        <v>12</v>
      </c>
      <c r="T12" s="25" t="s">
        <v>63</v>
      </c>
    </row>
    <row r="13" spans="1:20" ht="15.6" x14ac:dyDescent="0.3">
      <c r="A13" s="37"/>
      <c r="B13" s="38"/>
      <c r="C13" s="39" t="s">
        <v>64</v>
      </c>
      <c r="D13" s="318" t="s">
        <v>65</v>
      </c>
      <c r="E13" s="25"/>
      <c r="F13" s="25"/>
      <c r="G13" s="25"/>
      <c r="H13" s="25"/>
      <c r="I13" s="25"/>
      <c r="J13" s="25"/>
      <c r="K13" s="25"/>
      <c r="L13" s="25"/>
      <c r="M13" s="25"/>
      <c r="N13" s="25"/>
      <c r="O13" s="25"/>
      <c r="P13" s="25"/>
      <c r="Q13" s="25"/>
      <c r="R13" s="25"/>
      <c r="S13" s="25"/>
      <c r="T13" s="25"/>
    </row>
    <row r="14" spans="1:20" ht="15.6" x14ac:dyDescent="0.3">
      <c r="A14" s="37"/>
      <c r="B14" s="38"/>
      <c r="C14" s="39" t="s">
        <v>66</v>
      </c>
      <c r="D14" s="318" t="s">
        <v>67</v>
      </c>
      <c r="E14" s="25"/>
      <c r="F14" s="25"/>
      <c r="G14" s="25"/>
      <c r="H14" s="25"/>
      <c r="I14" s="25"/>
      <c r="J14" s="25"/>
      <c r="K14" s="25"/>
      <c r="L14" s="25"/>
      <c r="M14" s="25"/>
      <c r="N14" s="25"/>
      <c r="O14" s="25"/>
      <c r="P14" s="25"/>
      <c r="Q14" s="25"/>
      <c r="R14" s="25"/>
      <c r="S14" s="25"/>
      <c r="T14" s="25"/>
    </row>
    <row r="15" spans="1:20" ht="14.4" x14ac:dyDescent="0.3">
      <c r="A15" s="37"/>
      <c r="B15" s="38"/>
      <c r="C15" s="39" t="s">
        <v>68</v>
      </c>
      <c r="D15" s="41" t="s">
        <v>69</v>
      </c>
    </row>
    <row r="16" spans="1:20" ht="14.4" x14ac:dyDescent="0.3">
      <c r="A16" s="37"/>
      <c r="B16" s="38"/>
      <c r="C16" s="39" t="s">
        <v>70</v>
      </c>
      <c r="D16" s="41" t="s">
        <v>71</v>
      </c>
    </row>
    <row r="17" spans="1:4" ht="14.4" x14ac:dyDescent="0.3">
      <c r="A17" s="37"/>
      <c r="B17" s="38"/>
      <c r="C17" s="39" t="s">
        <v>72</v>
      </c>
      <c r="D17" s="41" t="s">
        <v>73</v>
      </c>
    </row>
    <row r="18" spans="1:4" ht="14.4" x14ac:dyDescent="0.3">
      <c r="A18" s="37"/>
      <c r="B18" s="38"/>
      <c r="C18" s="39" t="s">
        <v>74</v>
      </c>
      <c r="D18" s="41" t="s">
        <v>75</v>
      </c>
    </row>
    <row r="19" spans="1:4" ht="14.4" x14ac:dyDescent="0.3">
      <c r="A19" s="37"/>
      <c r="B19" s="38"/>
      <c r="C19" s="39" t="s">
        <v>76</v>
      </c>
      <c r="D19" s="41" t="s">
        <v>77</v>
      </c>
    </row>
    <row r="20" spans="1:4" ht="14.4" x14ac:dyDescent="0.3">
      <c r="A20" s="37"/>
      <c r="B20" s="38"/>
      <c r="C20" s="39" t="s">
        <v>78</v>
      </c>
      <c r="D20" s="41" t="s">
        <v>77</v>
      </c>
    </row>
    <row r="21" spans="1:4" ht="14.4" x14ac:dyDescent="0.3">
      <c r="A21" s="37"/>
      <c r="B21" s="38"/>
      <c r="C21" s="39" t="s">
        <v>79</v>
      </c>
      <c r="D21" s="41" t="s">
        <v>80</v>
      </c>
    </row>
    <row r="22" spans="1:4" ht="14.4" x14ac:dyDescent="0.3">
      <c r="A22" s="37"/>
      <c r="B22" s="38"/>
      <c r="C22" s="39" t="s">
        <v>81</v>
      </c>
      <c r="D22" s="41" t="s">
        <v>80</v>
      </c>
    </row>
    <row r="23" spans="1:4" ht="14.4" x14ac:dyDescent="0.3">
      <c r="A23" s="37"/>
      <c r="B23" s="38"/>
      <c r="C23" s="39" t="s">
        <v>82</v>
      </c>
      <c r="D23" s="41" t="s">
        <v>80</v>
      </c>
    </row>
    <row r="24" spans="1:4" ht="14.4" x14ac:dyDescent="0.3">
      <c r="A24" s="37"/>
      <c r="B24" s="38"/>
      <c r="C24" s="39" t="s">
        <v>83</v>
      </c>
      <c r="D24" s="41" t="s">
        <v>80</v>
      </c>
    </row>
    <row r="25" spans="1:4" ht="14.4" x14ac:dyDescent="0.3">
      <c r="A25" s="37"/>
      <c r="B25" s="38"/>
      <c r="C25" s="39" t="s">
        <v>84</v>
      </c>
      <c r="D25" s="41" t="s">
        <v>85</v>
      </c>
    </row>
    <row r="26" spans="1:4" x14ac:dyDescent="0.25">
      <c r="A26" s="37"/>
      <c r="B26" s="38"/>
      <c r="C26" s="39" t="s">
        <v>86</v>
      </c>
      <c r="D26" s="42" t="s">
        <v>87</v>
      </c>
    </row>
    <row r="27" spans="1:4" x14ac:dyDescent="0.25">
      <c r="A27" s="37"/>
      <c r="B27" s="38"/>
      <c r="C27" s="39" t="s">
        <v>88</v>
      </c>
      <c r="D27" s="42" t="s">
        <v>87</v>
      </c>
    </row>
    <row r="28" spans="1:4" x14ac:dyDescent="0.25">
      <c r="A28" s="37"/>
      <c r="B28" s="38"/>
      <c r="C28" s="39" t="s">
        <v>89</v>
      </c>
      <c r="D28" s="42" t="s">
        <v>87</v>
      </c>
    </row>
    <row r="29" spans="1:4" x14ac:dyDescent="0.25">
      <c r="A29" s="37"/>
      <c r="B29" s="38"/>
      <c r="C29" s="39" t="s">
        <v>90</v>
      </c>
      <c r="D29" s="42" t="s">
        <v>87</v>
      </c>
    </row>
    <row r="30" spans="1:4" x14ac:dyDescent="0.25">
      <c r="A30" s="37"/>
      <c r="B30" s="38"/>
      <c r="C30" s="39" t="s">
        <v>91</v>
      </c>
      <c r="D30" s="42" t="s">
        <v>92</v>
      </c>
    </row>
    <row r="31" spans="1:4" x14ac:dyDescent="0.25">
      <c r="A31" s="37"/>
      <c r="B31" s="34" t="s">
        <v>93</v>
      </c>
      <c r="C31" s="39"/>
      <c r="D31" s="43" t="s">
        <v>94</v>
      </c>
    </row>
    <row r="32" spans="1:4" ht="14.4" x14ac:dyDescent="0.3">
      <c r="A32" s="37"/>
      <c r="B32" s="38"/>
      <c r="C32" s="39" t="s">
        <v>95</v>
      </c>
      <c r="D32" s="41" t="s">
        <v>96</v>
      </c>
    </row>
    <row r="33" spans="1:4" ht="14.4" x14ac:dyDescent="0.3">
      <c r="A33" s="37"/>
      <c r="B33" s="38"/>
      <c r="C33" s="39" t="s">
        <v>97</v>
      </c>
      <c r="D33" s="41" t="s">
        <v>98</v>
      </c>
    </row>
    <row r="34" spans="1:4" ht="14.4" x14ac:dyDescent="0.3">
      <c r="A34" s="37"/>
      <c r="B34" s="38"/>
      <c r="C34" s="39" t="s">
        <v>99</v>
      </c>
      <c r="D34" s="41" t="s">
        <v>100</v>
      </c>
    </row>
    <row r="35" spans="1:4" ht="14.4" x14ac:dyDescent="0.3">
      <c r="A35" s="37"/>
      <c r="B35" s="38"/>
      <c r="C35" s="39" t="s">
        <v>101</v>
      </c>
      <c r="D35" s="41" t="s">
        <v>102</v>
      </c>
    </row>
    <row r="36" spans="1:4" ht="14.4" x14ac:dyDescent="0.3">
      <c r="A36" s="37"/>
      <c r="B36" s="38"/>
      <c r="C36" s="39" t="s">
        <v>103</v>
      </c>
      <c r="D36" s="41" t="s">
        <v>104</v>
      </c>
    </row>
    <row r="37" spans="1:4" ht="14.4" x14ac:dyDescent="0.3">
      <c r="A37" s="37"/>
      <c r="B37" s="38"/>
      <c r="C37" s="39" t="s">
        <v>105</v>
      </c>
      <c r="D37" s="41" t="s">
        <v>106</v>
      </c>
    </row>
    <row r="38" spans="1:4" ht="14.4" x14ac:dyDescent="0.3">
      <c r="A38" s="37"/>
      <c r="B38" s="38"/>
      <c r="C38" s="39" t="s">
        <v>107</v>
      </c>
      <c r="D38" s="41" t="s">
        <v>108</v>
      </c>
    </row>
    <row r="39" spans="1:4" ht="14.4" x14ac:dyDescent="0.3">
      <c r="A39" s="37"/>
      <c r="B39" s="38"/>
      <c r="C39" s="39" t="s">
        <v>109</v>
      </c>
      <c r="D39" s="41" t="s">
        <v>110</v>
      </c>
    </row>
    <row r="40" spans="1:4" ht="14.4" x14ac:dyDescent="0.3">
      <c r="A40" s="37"/>
      <c r="B40" s="38"/>
      <c r="C40" s="39" t="s">
        <v>111</v>
      </c>
      <c r="D40" s="41" t="s">
        <v>110</v>
      </c>
    </row>
    <row r="41" spans="1:4" ht="14.4" x14ac:dyDescent="0.3">
      <c r="A41" s="37"/>
      <c r="B41" s="38"/>
      <c r="C41" s="39" t="s">
        <v>112</v>
      </c>
      <c r="D41" s="40" t="s">
        <v>113</v>
      </c>
    </row>
    <row r="42" spans="1:4" ht="15.6" x14ac:dyDescent="0.3">
      <c r="A42" s="37"/>
      <c r="B42" s="38"/>
      <c r="C42" s="39" t="s">
        <v>476</v>
      </c>
      <c r="D42" s="317" t="s">
        <v>475</v>
      </c>
    </row>
    <row r="43" spans="1:4" ht="15.6" x14ac:dyDescent="0.3">
      <c r="A43" s="37"/>
      <c r="B43" s="38"/>
      <c r="C43" s="39" t="s">
        <v>473</v>
      </c>
      <c r="D43" s="317" t="s">
        <v>474</v>
      </c>
    </row>
    <row r="44" spans="1:4" ht="13.5" customHeight="1" x14ac:dyDescent="0.3">
      <c r="A44" s="37"/>
      <c r="B44" s="34" t="s">
        <v>114</v>
      </c>
      <c r="C44" s="39"/>
      <c r="D44" s="40" t="s">
        <v>115</v>
      </c>
    </row>
    <row r="45" spans="1:4" ht="14.4" x14ac:dyDescent="0.3">
      <c r="A45" s="37"/>
      <c r="B45" s="44" t="s">
        <v>116</v>
      </c>
      <c r="C45" s="45"/>
      <c r="D45" s="46" t="s">
        <v>117</v>
      </c>
    </row>
  </sheetData>
  <hyperlinks>
    <hyperlink ref="D13" location="'Nota 3'!A1" display="Nota 3" xr:uid="{52311FEA-52E0-1D44-B3A0-EFF42304CA00}"/>
    <hyperlink ref="D14" location="'Nota 4'!A1" display="Nota 4" xr:uid="{B9F3AB15-312E-A140-8DBF-1E27808F81EF}"/>
    <hyperlink ref="D15" location="'Nota 5'!A1" display="Nota 5" xr:uid="{759A8E13-F258-C240-B7A9-E4702AAE2E20}"/>
    <hyperlink ref="D16" location="'Nota 6'!A1" display="Nota 6" xr:uid="{DF465F4C-B6CE-8847-A33A-1BB2D07B01D7}"/>
    <hyperlink ref="D17" location="'Nota 7'!A1" display="Nota 7" xr:uid="{84C79C80-6837-A141-959A-B65E353B4183}"/>
    <hyperlink ref="D19" location="'Nota 9'!A1" display="Nota 9" xr:uid="{59687AE5-47C8-064B-8950-1278130D171C}"/>
    <hyperlink ref="D12" location="BG!A1" display="BG" xr:uid="{A6360C06-73B3-E042-8BE5-F1F36049B50B}"/>
    <hyperlink ref="D31" location="ER!A1" display="ER" xr:uid="{E9AB7F4E-4DD7-8344-A71B-1B82FFCC5059}"/>
    <hyperlink ref="D44" location="EVPN!A1" display="EVPN" xr:uid="{B83D66ED-EB5F-9C47-8A27-2D2FE8B58179}"/>
    <hyperlink ref="D45" location="EFE!A1" display="EFE" xr:uid="{61A59A64-BCA2-4448-A0EC-E205FC33D7FF}"/>
    <hyperlink ref="D18" location="'Nota 8'!A1" display="Nota 8" xr:uid="{8292937D-AD2C-DC4F-A0B4-ED4757078CA1}"/>
    <hyperlink ref="D25" location="'Nota 11'!A1" display="Nota 11" xr:uid="{B6778AC4-F541-2447-840E-C786DF781A50}"/>
    <hyperlink ref="D26" location="' Nota 21'!A1" display="Nota 21" xr:uid="{83DCA8E8-DB16-E544-A9DD-3E7CD3450E9B}"/>
    <hyperlink ref="D27" location="' Nota 21'!A1" display="Nota 21" xr:uid="{EE8BA10F-3A41-1649-88E4-7718018404A4}"/>
    <hyperlink ref="D28" location="' Nota 21'!A1" display="Nota 21" xr:uid="{595B9794-DD27-454E-AC35-35656969AA06}"/>
    <hyperlink ref="D29" location="' Nota 21'!A1" display="Nota 21" xr:uid="{57BADD7A-B98F-0B41-9840-75ADD7623B90}"/>
    <hyperlink ref="D30" location="'Nota 23'!A1" display="Nota 23" xr:uid="{25F8FEA6-548B-E647-BA34-6DD119E9900E}"/>
    <hyperlink ref="D32" location="'Nota 14'!A1" display="Nota 14" xr:uid="{E58150F8-847B-DD4D-8A54-A9162C2AF7DC}"/>
    <hyperlink ref="D33" location="'Nota 15'!A1" display="Nota 15" xr:uid="{5AB04131-E1F4-6C4F-B341-457D556B8A3E}"/>
    <hyperlink ref="D34" location="'Nota 16'!A1" display="Nota 16" xr:uid="{861D0B81-93C1-6F42-9141-33D34FF83607}"/>
    <hyperlink ref="D35" location="'Nota 17'!A1" display="Nota 17" xr:uid="{7A29E014-8A44-DD46-8CAF-27FA75F515A4}"/>
    <hyperlink ref="D36" location="'Nota 18'!A1" display="Nota 18" xr:uid="{CE9CE31F-07A6-3C41-8823-813309AA02EC}"/>
    <hyperlink ref="D37" location="'Nota 19'!A1" display="Nota 19" xr:uid="{2116618C-A759-944D-A0EB-84C1C85D6B62}"/>
    <hyperlink ref="D38" location="'Nota 19'!A1" display="Nota19" xr:uid="{64F1A713-0BD6-654F-9ECB-9EC39C1E7F09}"/>
    <hyperlink ref="D39" location="'Nota 20'!A1" display="Nota 20" xr:uid="{AE9CF31F-4A1F-7C4F-A3AC-F0D3CCC91BD0}"/>
    <hyperlink ref="D40" location="'Nota 20'!A1" display="Nota 20" xr:uid="{4DC1FB7E-0FFA-E34C-A72B-3443CB17559E}"/>
    <hyperlink ref="D41" location="'Nota 21'!A1" display="Nota 21" xr:uid="{A5EFE6C3-F6FF-9E42-96AD-94F6619A123D}"/>
    <hyperlink ref="D11" location="'Nota 2'!A1" display="Nota 2" xr:uid="{553D7098-03F1-B645-A4FA-30AF8F934F6E}"/>
    <hyperlink ref="D10" location="'Nota 1'!A1" display="Nota 1" xr:uid="{4A5140B1-2EB6-BF44-97BE-FEBAE819A904}"/>
    <hyperlink ref="D20" location="'Nota 9'!A1" display="Nota 9" xr:uid="{6CF2953B-0F08-E34B-8B27-FC75169C6A8A}"/>
    <hyperlink ref="D21:D24" location="BG!A1" display="BG" xr:uid="{1675CF9E-DF62-DF41-BF95-B6B406D3E3FD}"/>
    <hyperlink ref="D21" location="'Nota 10'!A1" display="Nota 10" xr:uid="{4BAD0240-4B72-CB44-85F5-975D0EEA8048}"/>
    <hyperlink ref="D22" location="'Nota 10'!A1" display="Nota 10" xr:uid="{861FD175-F5A1-234B-97C8-ECB50FD3008B}"/>
    <hyperlink ref="D23" location="'Nota 10'!A1" display="Nota 10" xr:uid="{2C37BDD8-88FA-DF4B-A3AC-344E43C603D5}"/>
    <hyperlink ref="D24" location="'Nota 10'!A1" display="Nota 10" xr:uid="{4931D328-CFC5-0A42-AA79-D840B22A27AF}"/>
    <hyperlink ref="D42" location="'Nota 22'!A1" display="Nota 22" xr:uid="{6021B12B-1923-4468-A9B0-36BECD29575F}"/>
    <hyperlink ref="D43" location="'Nota 23'!A1" display="Nota 23" xr:uid="{EE369F5F-DA69-4B56-989E-771021A4D049}"/>
  </hyperlink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0852F1-4764-8646-91A7-615CF81AC375}">
  <sheetPr>
    <tabColor rgb="FF002060"/>
  </sheetPr>
  <dimension ref="A1:K37"/>
  <sheetViews>
    <sheetView showGridLines="0" topLeftCell="A27" workbookViewId="0">
      <selection activeCell="G36" sqref="G36"/>
    </sheetView>
  </sheetViews>
  <sheetFormatPr baseColWidth="10" defaultColWidth="10" defaultRowHeight="13.8" x14ac:dyDescent="0.25"/>
  <cols>
    <col min="1" max="8" width="10" style="48"/>
    <col min="9" max="9" width="13" style="48" customWidth="1"/>
    <col min="10" max="16384" width="10" style="48"/>
  </cols>
  <sheetData>
    <row r="1" spans="1:11" ht="14.4" x14ac:dyDescent="0.25">
      <c r="A1" s="47" t="s">
        <v>42</v>
      </c>
      <c r="I1" s="49" t="s">
        <v>118</v>
      </c>
    </row>
    <row r="4" spans="1:11" x14ac:dyDescent="0.25">
      <c r="A4" s="50" t="s">
        <v>1537</v>
      </c>
      <c r="B4" s="51"/>
      <c r="C4" s="51"/>
      <c r="D4" s="51"/>
      <c r="E4" s="51"/>
      <c r="F4" s="51"/>
      <c r="G4" s="51"/>
      <c r="H4" s="52" t="s">
        <v>199</v>
      </c>
      <c r="I4" s="53"/>
      <c r="J4" s="54"/>
      <c r="K4" s="54"/>
    </row>
    <row r="5" spans="1:11" x14ac:dyDescent="0.25">
      <c r="A5" s="55" t="s">
        <v>119</v>
      </c>
      <c r="B5" s="56"/>
      <c r="C5" s="56"/>
      <c r="D5" s="56"/>
      <c r="E5" s="56"/>
      <c r="F5" s="56" t="s">
        <v>200</v>
      </c>
      <c r="G5" s="56"/>
      <c r="H5" s="56"/>
      <c r="I5" s="57"/>
      <c r="J5" s="54"/>
      <c r="K5" s="54"/>
    </row>
    <row r="6" spans="1:11" x14ac:dyDescent="0.25">
      <c r="A6" s="583" t="s">
        <v>120</v>
      </c>
      <c r="B6" s="584"/>
      <c r="C6" s="584"/>
      <c r="D6" s="584"/>
      <c r="E6" s="584"/>
      <c r="F6" s="584"/>
      <c r="G6" s="584"/>
      <c r="H6" s="584"/>
      <c r="I6" s="585"/>
      <c r="J6" s="58"/>
      <c r="K6" s="58"/>
    </row>
    <row r="7" spans="1:11" x14ac:dyDescent="0.25">
      <c r="A7" s="59"/>
      <c r="B7" s="58"/>
      <c r="C7" s="58"/>
      <c r="D7" s="58"/>
      <c r="E7" s="58"/>
      <c r="F7" s="58"/>
      <c r="G7" s="58"/>
      <c r="H7" s="58"/>
      <c r="I7" s="60"/>
      <c r="J7" s="58"/>
      <c r="K7" s="58"/>
    </row>
    <row r="8" spans="1:11" x14ac:dyDescent="0.25">
      <c r="A8" s="61"/>
      <c r="I8" s="62"/>
    </row>
    <row r="9" spans="1:11" x14ac:dyDescent="0.25">
      <c r="A9" s="50" t="s">
        <v>121</v>
      </c>
      <c r="B9" s="51"/>
      <c r="C9" s="51"/>
      <c r="D9" s="51"/>
      <c r="E9" s="51"/>
      <c r="F9" s="51"/>
      <c r="G9" s="51"/>
      <c r="H9" s="51"/>
      <c r="I9" s="63"/>
      <c r="J9" s="586"/>
      <c r="K9" s="586"/>
    </row>
    <row r="10" spans="1:11" x14ac:dyDescent="0.25">
      <c r="A10" s="64" t="s">
        <v>122</v>
      </c>
      <c r="B10" s="65"/>
      <c r="C10" s="65"/>
      <c r="D10" s="65"/>
      <c r="E10" s="65"/>
      <c r="F10" s="65"/>
      <c r="G10" s="65"/>
      <c r="H10" s="65"/>
      <c r="I10" s="66"/>
    </row>
    <row r="11" spans="1:11" x14ac:dyDescent="0.25">
      <c r="A11" s="61" t="s">
        <v>123</v>
      </c>
      <c r="I11" s="62"/>
      <c r="J11" s="58"/>
      <c r="K11" s="58"/>
    </row>
    <row r="12" spans="1:11" x14ac:dyDescent="0.25">
      <c r="A12" s="61" t="s">
        <v>124</v>
      </c>
      <c r="I12" s="62"/>
    </row>
    <row r="13" spans="1:11" x14ac:dyDescent="0.25">
      <c r="A13" s="61" t="s">
        <v>125</v>
      </c>
      <c r="I13" s="62"/>
    </row>
    <row r="14" spans="1:11" x14ac:dyDescent="0.25">
      <c r="A14" s="61" t="s">
        <v>126</v>
      </c>
      <c r="I14" s="62"/>
    </row>
    <row r="15" spans="1:11" x14ac:dyDescent="0.25">
      <c r="A15" s="61" t="s">
        <v>127</v>
      </c>
      <c r="I15" s="62"/>
    </row>
    <row r="16" spans="1:11" x14ac:dyDescent="0.25">
      <c r="A16" s="61" t="s">
        <v>128</v>
      </c>
      <c r="I16" s="62"/>
    </row>
    <row r="17" spans="1:9" x14ac:dyDescent="0.25">
      <c r="A17" s="61" t="s">
        <v>129</v>
      </c>
      <c r="I17" s="62"/>
    </row>
    <row r="18" spans="1:9" x14ac:dyDescent="0.25">
      <c r="A18" s="61" t="s">
        <v>130</v>
      </c>
      <c r="I18" s="62"/>
    </row>
    <row r="19" spans="1:9" x14ac:dyDescent="0.25">
      <c r="A19" s="61" t="s">
        <v>131</v>
      </c>
      <c r="I19" s="62"/>
    </row>
    <row r="20" spans="1:9" x14ac:dyDescent="0.25">
      <c r="A20" s="61" t="s">
        <v>132</v>
      </c>
      <c r="I20" s="62"/>
    </row>
    <row r="21" spans="1:9" x14ac:dyDescent="0.25">
      <c r="A21" s="61" t="s">
        <v>133</v>
      </c>
      <c r="I21" s="62"/>
    </row>
    <row r="22" spans="1:9" x14ac:dyDescent="0.25">
      <c r="A22" s="61" t="s">
        <v>134</v>
      </c>
      <c r="I22" s="62"/>
    </row>
    <row r="23" spans="1:9" x14ac:dyDescent="0.25">
      <c r="A23" s="61" t="s">
        <v>135</v>
      </c>
      <c r="I23" s="62"/>
    </row>
    <row r="24" spans="1:9" x14ac:dyDescent="0.25">
      <c r="A24" s="61" t="s">
        <v>136</v>
      </c>
      <c r="I24" s="62"/>
    </row>
    <row r="25" spans="1:9" x14ac:dyDescent="0.25">
      <c r="A25" s="61" t="s">
        <v>137</v>
      </c>
      <c r="I25" s="62"/>
    </row>
    <row r="26" spans="1:9" x14ac:dyDescent="0.25">
      <c r="A26" s="61" t="s">
        <v>138</v>
      </c>
      <c r="I26" s="62"/>
    </row>
    <row r="27" spans="1:9" x14ac:dyDescent="0.25">
      <c r="A27" s="61" t="s">
        <v>139</v>
      </c>
      <c r="I27" s="62"/>
    </row>
    <row r="28" spans="1:9" x14ac:dyDescent="0.25">
      <c r="A28" s="61" t="s">
        <v>140</v>
      </c>
      <c r="I28" s="62"/>
    </row>
    <row r="29" spans="1:9" x14ac:dyDescent="0.25">
      <c r="A29" s="61" t="s">
        <v>141</v>
      </c>
      <c r="I29" s="62"/>
    </row>
    <row r="30" spans="1:9" x14ac:dyDescent="0.25">
      <c r="A30" s="61" t="s">
        <v>142</v>
      </c>
      <c r="I30" s="62"/>
    </row>
    <row r="31" spans="1:9" x14ac:dyDescent="0.25">
      <c r="A31" s="61" t="s">
        <v>143</v>
      </c>
      <c r="I31" s="62"/>
    </row>
    <row r="32" spans="1:9" x14ac:dyDescent="0.25">
      <c r="A32" s="61" t="s">
        <v>144</v>
      </c>
      <c r="I32" s="62"/>
    </row>
    <row r="33" spans="1:9" x14ac:dyDescent="0.25">
      <c r="A33" s="61" t="s">
        <v>145</v>
      </c>
      <c r="I33" s="62"/>
    </row>
    <row r="34" spans="1:9" x14ac:dyDescent="0.25">
      <c r="A34" s="61" t="s">
        <v>146</v>
      </c>
      <c r="I34" s="62"/>
    </row>
    <row r="35" spans="1:9" x14ac:dyDescent="0.25">
      <c r="A35" s="61" t="s">
        <v>147</v>
      </c>
      <c r="I35" s="62"/>
    </row>
    <row r="36" spans="1:9" x14ac:dyDescent="0.25">
      <c r="A36" s="61" t="s">
        <v>1538</v>
      </c>
      <c r="I36" s="62"/>
    </row>
    <row r="37" spans="1:9" x14ac:dyDescent="0.25">
      <c r="A37" s="67" t="s">
        <v>1472</v>
      </c>
      <c r="B37" s="68"/>
      <c r="C37" s="68"/>
      <c r="D37" s="68"/>
      <c r="E37" s="68"/>
      <c r="F37" s="68"/>
      <c r="G37" s="68"/>
      <c r="H37" s="68"/>
      <c r="I37" s="69"/>
    </row>
  </sheetData>
  <mergeCells count="2">
    <mergeCell ref="A6:I6"/>
    <mergeCell ref="J9:K9"/>
  </mergeCells>
  <hyperlinks>
    <hyperlink ref="I1" location="Indice!D10" display="Indice" xr:uid="{1DD83087-80EC-4146-8DA1-8D629F244BB5}"/>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0CBEA-E829-ED4D-B20A-11D8EEFA3111}">
  <sheetPr>
    <tabColor rgb="FF002060"/>
  </sheetPr>
  <dimension ref="A1:I64"/>
  <sheetViews>
    <sheetView showGridLines="0" topLeftCell="A55" workbookViewId="0">
      <selection activeCell="C69" sqref="C69"/>
    </sheetView>
  </sheetViews>
  <sheetFormatPr baseColWidth="10" defaultColWidth="10" defaultRowHeight="13.8" x14ac:dyDescent="0.25"/>
  <cols>
    <col min="1" max="1" width="27.5" style="48" customWidth="1"/>
    <col min="2" max="2" width="17.3984375" style="48" customWidth="1"/>
    <col min="3" max="3" width="13.5" style="48" customWidth="1"/>
    <col min="4" max="5" width="10" style="48"/>
    <col min="6" max="6" width="16.59765625" style="48" customWidth="1"/>
    <col min="7" max="7" width="13.5" style="48" customWidth="1"/>
    <col min="8" max="8" width="10" style="48"/>
    <col min="9" max="9" width="14.59765625" style="48" customWidth="1"/>
    <col min="10" max="16384" width="10" style="48"/>
  </cols>
  <sheetData>
    <row r="1" spans="1:9" ht="14.4" x14ac:dyDescent="0.25">
      <c r="A1" s="48" t="s">
        <v>42</v>
      </c>
      <c r="I1" s="49" t="s">
        <v>118</v>
      </c>
    </row>
    <row r="6" spans="1:9" ht="14.4" thickBot="1" x14ac:dyDescent="0.3">
      <c r="A6" s="599" t="s">
        <v>148</v>
      </c>
      <c r="B6" s="600"/>
      <c r="C6" s="600"/>
      <c r="D6" s="600"/>
      <c r="E6" s="600"/>
      <c r="F6" s="600"/>
      <c r="G6" s="600"/>
      <c r="H6" s="600"/>
      <c r="I6" s="601"/>
    </row>
    <row r="7" spans="1:9" x14ac:dyDescent="0.25">
      <c r="A7" s="602" t="s">
        <v>149</v>
      </c>
      <c r="B7" s="603"/>
      <c r="C7" s="603"/>
      <c r="D7" s="603"/>
      <c r="E7" s="603"/>
      <c r="F7" s="603"/>
      <c r="G7" s="603"/>
      <c r="H7" s="603"/>
      <c r="I7" s="604"/>
    </row>
    <row r="8" spans="1:9" x14ac:dyDescent="0.25">
      <c r="A8" s="70"/>
      <c r="I8" s="71"/>
    </row>
    <row r="9" spans="1:9" x14ac:dyDescent="0.25">
      <c r="A9" s="70" t="s">
        <v>150</v>
      </c>
      <c r="B9" s="72" t="s">
        <v>151</v>
      </c>
      <c r="I9" s="71"/>
    </row>
    <row r="10" spans="1:9" ht="162" customHeight="1" x14ac:dyDescent="0.25">
      <c r="A10" s="605" t="s">
        <v>1539</v>
      </c>
      <c r="B10" s="606"/>
      <c r="C10" s="606"/>
      <c r="D10" s="606"/>
      <c r="E10" s="606"/>
      <c r="F10" s="606"/>
      <c r="G10" s="606"/>
      <c r="H10" s="606"/>
      <c r="I10" s="607"/>
    </row>
    <row r="11" spans="1:9" x14ac:dyDescent="0.25">
      <c r="A11" s="73"/>
      <c r="B11" s="74"/>
      <c r="C11" s="74"/>
      <c r="D11" s="74"/>
      <c r="E11" s="74"/>
      <c r="F11" s="74"/>
      <c r="G11" s="74"/>
      <c r="H11" s="74"/>
      <c r="I11" s="75"/>
    </row>
    <row r="12" spans="1:9" x14ac:dyDescent="0.25">
      <c r="A12" s="76" t="s">
        <v>152</v>
      </c>
      <c r="B12" s="47" t="s">
        <v>153</v>
      </c>
      <c r="I12" s="71"/>
    </row>
    <row r="13" spans="1:9" ht="195" customHeight="1" x14ac:dyDescent="0.25">
      <c r="A13" s="590" t="s">
        <v>1540</v>
      </c>
      <c r="B13" s="591"/>
      <c r="C13" s="591"/>
      <c r="D13" s="591"/>
      <c r="E13" s="591"/>
      <c r="F13" s="591"/>
      <c r="G13" s="591"/>
      <c r="H13" s="591"/>
      <c r="I13" s="592"/>
    </row>
    <row r="14" spans="1:9" x14ac:dyDescent="0.25">
      <c r="A14" s="70" t="s">
        <v>154</v>
      </c>
      <c r="B14" s="72" t="s">
        <v>155</v>
      </c>
      <c r="I14" s="71"/>
    </row>
    <row r="15" spans="1:9" ht="48.9" customHeight="1" x14ac:dyDescent="0.25">
      <c r="A15" s="590" t="s">
        <v>1473</v>
      </c>
      <c r="B15" s="591"/>
      <c r="C15" s="591"/>
      <c r="D15" s="591"/>
      <c r="E15" s="591"/>
      <c r="F15" s="591"/>
      <c r="G15" s="591"/>
      <c r="H15" s="591"/>
      <c r="I15" s="592"/>
    </row>
    <row r="16" spans="1:9" x14ac:dyDescent="0.25">
      <c r="A16" s="77"/>
      <c r="B16" s="598"/>
      <c r="C16" s="598"/>
      <c r="D16" s="598"/>
      <c r="E16" s="598"/>
      <c r="F16" s="598"/>
      <c r="G16" s="77"/>
      <c r="H16" s="77"/>
      <c r="I16" s="71"/>
    </row>
    <row r="17" spans="1:9" x14ac:dyDescent="0.25">
      <c r="A17" s="78"/>
      <c r="B17" s="595" t="s">
        <v>1541</v>
      </c>
      <c r="C17" s="595"/>
      <c r="D17" s="79"/>
      <c r="E17" s="595" t="s">
        <v>1474</v>
      </c>
      <c r="F17" s="595"/>
      <c r="G17" s="596"/>
      <c r="H17" s="596"/>
      <c r="I17" s="71"/>
    </row>
    <row r="18" spans="1:9" x14ac:dyDescent="0.25">
      <c r="A18" s="78"/>
      <c r="B18" s="80" t="s">
        <v>156</v>
      </c>
      <c r="C18" s="80" t="s">
        <v>157</v>
      </c>
      <c r="D18" s="81"/>
      <c r="E18" s="80" t="s">
        <v>156</v>
      </c>
      <c r="F18" s="80" t="s">
        <v>157</v>
      </c>
      <c r="G18" s="82"/>
      <c r="H18" s="82"/>
      <c r="I18" s="71"/>
    </row>
    <row r="19" spans="1:9" x14ac:dyDescent="0.25">
      <c r="A19" s="83" t="s">
        <v>158</v>
      </c>
      <c r="B19" s="84">
        <v>7289.83</v>
      </c>
      <c r="C19" s="85">
        <v>7307.17</v>
      </c>
      <c r="D19" s="86"/>
      <c r="E19" s="84">
        <v>7322.9</v>
      </c>
      <c r="F19" s="85">
        <v>7339.62</v>
      </c>
      <c r="G19" s="87"/>
      <c r="H19" s="87"/>
      <c r="I19" s="71"/>
    </row>
    <row r="20" spans="1:9" x14ac:dyDescent="0.25">
      <c r="A20" s="88" t="s">
        <v>159</v>
      </c>
      <c r="B20" s="84">
        <v>7707.54</v>
      </c>
      <c r="C20" s="85">
        <v>7726.6</v>
      </c>
      <c r="D20" s="88"/>
      <c r="E20" s="84">
        <v>7798.16</v>
      </c>
      <c r="F20" s="90">
        <v>7816.69</v>
      </c>
      <c r="G20" s="87"/>
      <c r="H20" s="87"/>
      <c r="I20" s="71"/>
    </row>
    <row r="21" spans="1:9" x14ac:dyDescent="0.25">
      <c r="A21" s="89" t="s">
        <v>160</v>
      </c>
      <c r="B21" s="84">
        <v>1446.45</v>
      </c>
      <c r="C21" s="90">
        <v>1450.21</v>
      </c>
      <c r="D21" s="87"/>
      <c r="E21" s="84">
        <v>1400.84</v>
      </c>
      <c r="F21" s="85">
        <v>1404.05</v>
      </c>
      <c r="G21" s="87"/>
      <c r="H21" s="87"/>
      <c r="I21" s="71"/>
    </row>
    <row r="22" spans="1:9" x14ac:dyDescent="0.25">
      <c r="A22" s="70"/>
      <c r="E22" s="84"/>
      <c r="F22" s="85"/>
      <c r="G22" s="87"/>
      <c r="I22" s="71"/>
    </row>
    <row r="23" spans="1:9" ht="56.1" customHeight="1" x14ac:dyDescent="0.25">
      <c r="A23" s="590" t="s">
        <v>470</v>
      </c>
      <c r="B23" s="591"/>
      <c r="C23" s="591"/>
      <c r="D23" s="591"/>
      <c r="E23" s="591"/>
      <c r="F23" s="591"/>
      <c r="G23" s="591"/>
      <c r="H23" s="591"/>
      <c r="I23" s="592"/>
    </row>
    <row r="24" spans="1:9" x14ac:dyDescent="0.25">
      <c r="A24" s="91"/>
      <c r="I24" s="71"/>
    </row>
    <row r="25" spans="1:9" x14ac:dyDescent="0.25">
      <c r="A25" s="70" t="s">
        <v>161</v>
      </c>
      <c r="B25" s="72" t="s">
        <v>162</v>
      </c>
      <c r="I25" s="71"/>
    </row>
    <row r="26" spans="1:9" ht="57.9" customHeight="1" x14ac:dyDescent="0.25">
      <c r="A26" s="590" t="s">
        <v>471</v>
      </c>
      <c r="B26" s="591"/>
      <c r="C26" s="591"/>
      <c r="D26" s="591"/>
      <c r="E26" s="591"/>
      <c r="F26" s="591"/>
      <c r="G26" s="591"/>
      <c r="H26" s="591"/>
      <c r="I26" s="592"/>
    </row>
    <row r="27" spans="1:9" x14ac:dyDescent="0.25">
      <c r="A27" s="91"/>
      <c r="I27" s="71"/>
    </row>
    <row r="28" spans="1:9" x14ac:dyDescent="0.25">
      <c r="A28" s="70" t="s">
        <v>163</v>
      </c>
      <c r="B28" s="72" t="s">
        <v>164</v>
      </c>
      <c r="I28" s="71"/>
    </row>
    <row r="29" spans="1:9" x14ac:dyDescent="0.25">
      <c r="A29" s="590" t="s">
        <v>165</v>
      </c>
      <c r="B29" s="591"/>
      <c r="C29" s="591"/>
      <c r="D29" s="591"/>
      <c r="E29" s="591"/>
      <c r="F29" s="591"/>
      <c r="G29" s="591"/>
      <c r="H29" s="591"/>
      <c r="I29" s="592"/>
    </row>
    <row r="30" spans="1:9" x14ac:dyDescent="0.25">
      <c r="A30" s="91"/>
      <c r="I30" s="71"/>
    </row>
    <row r="31" spans="1:9" x14ac:dyDescent="0.25">
      <c r="A31" s="70" t="s">
        <v>166</v>
      </c>
      <c r="B31" s="72" t="s">
        <v>167</v>
      </c>
      <c r="I31" s="71"/>
    </row>
    <row r="32" spans="1:9" x14ac:dyDescent="0.25">
      <c r="A32" s="590" t="s">
        <v>1542</v>
      </c>
      <c r="B32" s="591"/>
      <c r="C32" s="591"/>
      <c r="D32" s="591"/>
      <c r="E32" s="591"/>
      <c r="F32" s="591"/>
      <c r="G32" s="591"/>
      <c r="H32" s="591"/>
      <c r="I32" s="592"/>
    </row>
    <row r="33" spans="1:9" x14ac:dyDescent="0.25">
      <c r="A33" s="92"/>
      <c r="I33" s="71"/>
    </row>
    <row r="34" spans="1:9" s="47" customFormat="1" x14ac:dyDescent="0.25">
      <c r="A34" s="70" t="s">
        <v>168</v>
      </c>
      <c r="B34" s="47" t="s">
        <v>169</v>
      </c>
      <c r="I34" s="93"/>
    </row>
    <row r="35" spans="1:9" ht="50.1" customHeight="1" x14ac:dyDescent="0.25">
      <c r="A35" s="590" t="s">
        <v>170</v>
      </c>
      <c r="B35" s="591"/>
      <c r="C35" s="591"/>
      <c r="D35" s="591"/>
      <c r="E35" s="591"/>
      <c r="F35" s="591"/>
      <c r="G35" s="591"/>
      <c r="H35" s="591"/>
      <c r="I35" s="592"/>
    </row>
    <row r="36" spans="1:9" x14ac:dyDescent="0.25">
      <c r="A36" s="91"/>
      <c r="I36" s="71"/>
    </row>
    <row r="37" spans="1:9" s="47" customFormat="1" x14ac:dyDescent="0.25">
      <c r="A37" s="70" t="s">
        <v>171</v>
      </c>
      <c r="B37" s="47" t="s">
        <v>172</v>
      </c>
      <c r="I37" s="93"/>
    </row>
    <row r="38" spans="1:9" ht="63.9" customHeight="1" x14ac:dyDescent="0.25">
      <c r="A38" s="590" t="s">
        <v>173</v>
      </c>
      <c r="B38" s="591"/>
      <c r="C38" s="591"/>
      <c r="D38" s="591"/>
      <c r="E38" s="591"/>
      <c r="F38" s="591"/>
      <c r="G38" s="591"/>
      <c r="H38" s="591"/>
      <c r="I38" s="592"/>
    </row>
    <row r="39" spans="1:9" ht="60" customHeight="1" x14ac:dyDescent="0.25">
      <c r="A39" s="597" t="s">
        <v>174</v>
      </c>
      <c r="B39" s="591"/>
      <c r="C39" s="591"/>
      <c r="D39" s="591"/>
      <c r="E39" s="591"/>
      <c r="F39" s="591"/>
      <c r="G39" s="591"/>
      <c r="H39" s="591"/>
      <c r="I39" s="592"/>
    </row>
    <row r="40" spans="1:9" ht="93.9" customHeight="1" x14ac:dyDescent="0.25">
      <c r="A40" s="597" t="s">
        <v>175</v>
      </c>
      <c r="B40" s="591"/>
      <c r="C40" s="591"/>
      <c r="D40" s="591"/>
      <c r="E40" s="591"/>
      <c r="F40" s="591"/>
      <c r="G40" s="591"/>
      <c r="H40" s="591"/>
      <c r="I40" s="592"/>
    </row>
    <row r="41" spans="1:9" x14ac:dyDescent="0.25">
      <c r="A41" s="91"/>
      <c r="I41" s="71"/>
    </row>
    <row r="42" spans="1:9" s="47" customFormat="1" x14ac:dyDescent="0.25">
      <c r="A42" s="70" t="s">
        <v>176</v>
      </c>
      <c r="B42" s="47" t="s">
        <v>177</v>
      </c>
      <c r="I42" s="93"/>
    </row>
    <row r="43" spans="1:9" x14ac:dyDescent="0.25">
      <c r="A43" s="590" t="s">
        <v>178</v>
      </c>
      <c r="B43" s="593"/>
      <c r="C43" s="593"/>
      <c r="D43" s="593"/>
      <c r="E43" s="593"/>
      <c r="F43" s="593"/>
      <c r="G43" s="593"/>
      <c r="H43" s="593"/>
      <c r="I43" s="594"/>
    </row>
    <row r="44" spans="1:9" x14ac:dyDescent="0.25">
      <c r="A44" s="91"/>
      <c r="I44" s="71"/>
    </row>
    <row r="45" spans="1:9" s="47" customFormat="1" x14ac:dyDescent="0.25">
      <c r="A45" s="70" t="s">
        <v>179</v>
      </c>
      <c r="B45" s="47" t="s">
        <v>180</v>
      </c>
      <c r="I45" s="93"/>
    </row>
    <row r="46" spans="1:9" x14ac:dyDescent="0.25">
      <c r="A46" s="590" t="s">
        <v>181</v>
      </c>
      <c r="B46" s="591"/>
      <c r="C46" s="591"/>
      <c r="D46" s="591"/>
      <c r="E46" s="591"/>
      <c r="F46" s="591"/>
      <c r="G46" s="591"/>
      <c r="H46" s="591"/>
      <c r="I46" s="592"/>
    </row>
    <row r="47" spans="1:9" x14ac:dyDescent="0.25">
      <c r="A47" s="91"/>
      <c r="I47" s="71"/>
    </row>
    <row r="48" spans="1:9" s="47" customFormat="1" x14ac:dyDescent="0.25">
      <c r="A48" s="70" t="s">
        <v>182</v>
      </c>
      <c r="B48" s="47" t="s">
        <v>183</v>
      </c>
      <c r="I48" s="93"/>
    </row>
    <row r="49" spans="1:9" ht="38.1" customHeight="1" x14ac:dyDescent="0.25">
      <c r="A49" s="590" t="s">
        <v>184</v>
      </c>
      <c r="B49" s="591"/>
      <c r="C49" s="591"/>
      <c r="D49" s="591"/>
      <c r="E49" s="591"/>
      <c r="F49" s="591"/>
      <c r="G49" s="591"/>
      <c r="H49" s="591"/>
      <c r="I49" s="592"/>
    </row>
    <row r="50" spans="1:9" x14ac:dyDescent="0.25">
      <c r="A50" s="91"/>
      <c r="I50" s="71"/>
    </row>
    <row r="51" spans="1:9" s="47" customFormat="1" x14ac:dyDescent="0.25">
      <c r="A51" s="70" t="s">
        <v>185</v>
      </c>
      <c r="B51" s="47" t="s">
        <v>186</v>
      </c>
      <c r="I51" s="93"/>
    </row>
    <row r="52" spans="1:9" x14ac:dyDescent="0.25">
      <c r="A52" s="590" t="s">
        <v>187</v>
      </c>
      <c r="B52" s="591"/>
      <c r="C52" s="591"/>
      <c r="D52" s="591"/>
      <c r="E52" s="591"/>
      <c r="F52" s="591"/>
      <c r="G52" s="591"/>
      <c r="H52" s="591"/>
      <c r="I52" s="592"/>
    </row>
    <row r="53" spans="1:9" x14ac:dyDescent="0.25">
      <c r="A53" s="94"/>
      <c r="B53" s="95"/>
      <c r="C53" s="95"/>
      <c r="D53" s="95"/>
      <c r="E53" s="95"/>
      <c r="F53" s="95"/>
      <c r="G53" s="95"/>
      <c r="H53" s="95"/>
      <c r="I53" s="96"/>
    </row>
    <row r="54" spans="1:9" x14ac:dyDescent="0.25">
      <c r="A54" s="70" t="s">
        <v>188</v>
      </c>
      <c r="B54" s="47" t="s">
        <v>189</v>
      </c>
      <c r="C54" s="47"/>
      <c r="D54" s="47"/>
      <c r="E54" s="47"/>
      <c r="F54" s="47"/>
      <c r="G54" s="47"/>
      <c r="H54" s="47"/>
      <c r="I54" s="93"/>
    </row>
    <row r="55" spans="1:9" ht="71.099999999999994" customHeight="1" x14ac:dyDescent="0.25">
      <c r="A55" s="590" t="s">
        <v>190</v>
      </c>
      <c r="B55" s="591"/>
      <c r="C55" s="591"/>
      <c r="D55" s="591"/>
      <c r="E55" s="591"/>
      <c r="F55" s="591"/>
      <c r="G55" s="591"/>
      <c r="H55" s="591"/>
      <c r="I55" s="592"/>
    </row>
    <row r="56" spans="1:9" x14ac:dyDescent="0.25">
      <c r="A56" s="94"/>
      <c r="B56" s="95"/>
      <c r="C56" s="95"/>
      <c r="D56" s="95"/>
      <c r="E56" s="95"/>
      <c r="F56" s="95"/>
      <c r="G56" s="95"/>
      <c r="H56" s="95"/>
      <c r="I56" s="96"/>
    </row>
    <row r="57" spans="1:9" x14ac:dyDescent="0.25">
      <c r="A57" s="70" t="s">
        <v>191</v>
      </c>
      <c r="B57" s="47" t="s">
        <v>109</v>
      </c>
      <c r="C57" s="47"/>
      <c r="D57" s="47"/>
      <c r="E57" s="47"/>
      <c r="F57" s="47"/>
      <c r="G57" s="47"/>
      <c r="H57" s="47"/>
      <c r="I57" s="93"/>
    </row>
    <row r="58" spans="1:9" ht="48" customHeight="1" x14ac:dyDescent="0.25">
      <c r="A58" s="590" t="s">
        <v>192</v>
      </c>
      <c r="B58" s="591"/>
      <c r="C58" s="591"/>
      <c r="D58" s="591"/>
      <c r="E58" s="591"/>
      <c r="F58" s="591"/>
      <c r="G58" s="591"/>
      <c r="H58" s="591"/>
      <c r="I58" s="592"/>
    </row>
    <row r="59" spans="1:9" x14ac:dyDescent="0.25">
      <c r="A59" s="94"/>
      <c r="B59" s="95"/>
      <c r="C59" s="95"/>
      <c r="D59" s="95"/>
      <c r="E59" s="95"/>
      <c r="F59" s="95"/>
      <c r="G59" s="95"/>
      <c r="H59" s="95"/>
      <c r="I59" s="96"/>
    </row>
    <row r="60" spans="1:9" x14ac:dyDescent="0.25">
      <c r="A60" s="70" t="s">
        <v>193</v>
      </c>
      <c r="B60" s="47" t="s">
        <v>194</v>
      </c>
      <c r="C60" s="47"/>
      <c r="D60" s="47"/>
      <c r="E60" s="47"/>
      <c r="F60" s="47"/>
      <c r="G60" s="47"/>
      <c r="H60" s="47"/>
      <c r="I60" s="93"/>
    </row>
    <row r="61" spans="1:9" x14ac:dyDescent="0.25">
      <c r="A61" s="590" t="s">
        <v>195</v>
      </c>
      <c r="B61" s="591"/>
      <c r="C61" s="591"/>
      <c r="D61" s="591"/>
      <c r="E61" s="591"/>
      <c r="F61" s="591"/>
      <c r="G61" s="591"/>
      <c r="H61" s="591"/>
      <c r="I61" s="592"/>
    </row>
    <row r="62" spans="1:9" x14ac:dyDescent="0.25">
      <c r="A62" s="91"/>
      <c r="I62" s="71"/>
    </row>
    <row r="63" spans="1:9" x14ac:dyDescent="0.25">
      <c r="A63" s="70" t="s">
        <v>196</v>
      </c>
      <c r="B63" s="47" t="s">
        <v>197</v>
      </c>
      <c r="C63" s="47"/>
      <c r="I63" s="71"/>
    </row>
    <row r="64" spans="1:9" ht="14.4" thickBot="1" x14ac:dyDescent="0.3">
      <c r="A64" s="587" t="s">
        <v>198</v>
      </c>
      <c r="B64" s="588"/>
      <c r="C64" s="588"/>
      <c r="D64" s="588"/>
      <c r="E64" s="588"/>
      <c r="F64" s="588"/>
      <c r="G64" s="588"/>
      <c r="H64" s="588"/>
      <c r="I64" s="589"/>
    </row>
  </sheetData>
  <mergeCells count="25">
    <mergeCell ref="B16:F16"/>
    <mergeCell ref="A6:I6"/>
    <mergeCell ref="A7:I7"/>
    <mergeCell ref="A10:I10"/>
    <mergeCell ref="A13:I13"/>
    <mergeCell ref="A15:I15"/>
    <mergeCell ref="A43:I43"/>
    <mergeCell ref="B17:C17"/>
    <mergeCell ref="E17:F17"/>
    <mergeCell ref="G17:H17"/>
    <mergeCell ref="A23:I23"/>
    <mergeCell ref="A26:I26"/>
    <mergeCell ref="A29:I29"/>
    <mergeCell ref="A32:I32"/>
    <mergeCell ref="A35:I35"/>
    <mergeCell ref="A38:I38"/>
    <mergeCell ref="A39:I39"/>
    <mergeCell ref="A40:I40"/>
    <mergeCell ref="A64:I64"/>
    <mergeCell ref="A46:I46"/>
    <mergeCell ref="A49:I49"/>
    <mergeCell ref="A52:I52"/>
    <mergeCell ref="A55:I55"/>
    <mergeCell ref="A58:I58"/>
    <mergeCell ref="A61:I61"/>
  </mergeCells>
  <hyperlinks>
    <hyperlink ref="I1" location="Indice!D11" display="Indice" xr:uid="{CD954676-DF67-2F4A-8D72-ED23F5972FA8}"/>
  </hyperlink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27CD0F-C223-7D44-BD4F-17DB6BA1C847}">
  <sheetPr>
    <tabColor theme="4" tint="0.39997558519241921"/>
  </sheetPr>
  <dimension ref="A1:H56"/>
  <sheetViews>
    <sheetView showGridLines="0" workbookViewId="0">
      <selection activeCell="H9" sqref="H9"/>
    </sheetView>
  </sheetViews>
  <sheetFormatPr baseColWidth="10" defaultColWidth="11.5" defaultRowHeight="15.6" x14ac:dyDescent="0.3"/>
  <cols>
    <col min="1" max="1" width="34" style="98" customWidth="1"/>
    <col min="2" max="2" width="4" style="98" bestFit="1" customWidth="1"/>
    <col min="3" max="3" width="3.8984375" style="98" customWidth="1"/>
    <col min="4" max="4" width="15.8984375" style="98" customWidth="1"/>
    <col min="5" max="5" width="3.8984375" style="98" customWidth="1"/>
    <col min="6" max="6" width="15.8984375" style="98" customWidth="1"/>
    <col min="7" max="7" width="14.19921875" style="98" bestFit="1" customWidth="1"/>
    <col min="8" max="8" width="17.19921875" style="98" bestFit="1" customWidth="1"/>
    <col min="9" max="16384" width="11.5" style="98"/>
  </cols>
  <sheetData>
    <row r="1" spans="1:8" x14ac:dyDescent="0.3">
      <c r="A1" s="608" t="s">
        <v>201</v>
      </c>
      <c r="B1" s="608"/>
      <c r="C1" s="608"/>
      <c r="D1" s="608"/>
      <c r="E1" s="608"/>
      <c r="F1" s="608"/>
      <c r="G1" s="49" t="s">
        <v>118</v>
      </c>
      <c r="H1" s="97" t="s">
        <v>62</v>
      </c>
    </row>
    <row r="2" spans="1:8" x14ac:dyDescent="0.3">
      <c r="A2" s="609" t="s">
        <v>1547</v>
      </c>
      <c r="B2" s="609"/>
      <c r="C2" s="609"/>
      <c r="D2" s="609"/>
      <c r="E2" s="609"/>
      <c r="F2" s="609"/>
    </row>
    <row r="3" spans="1:8" ht="20.399999999999999" x14ac:dyDescent="0.3">
      <c r="A3" s="610" t="s">
        <v>1533</v>
      </c>
      <c r="B3" s="610"/>
      <c r="C3" s="610"/>
      <c r="D3" s="610"/>
      <c r="E3" s="610"/>
      <c r="F3" s="610"/>
    </row>
    <row r="4" spans="1:8" ht="20.399999999999999" x14ac:dyDescent="0.3">
      <c r="A4" s="99" t="s">
        <v>202</v>
      </c>
      <c r="B4" s="100"/>
      <c r="C4" s="100"/>
      <c r="D4" s="100"/>
      <c r="E4" s="100"/>
      <c r="F4" s="100"/>
    </row>
    <row r="5" spans="1:8" ht="20.399999999999999" x14ac:dyDescent="0.3">
      <c r="A5" s="101"/>
      <c r="B5" s="100"/>
      <c r="C5" s="100"/>
      <c r="D5" s="100"/>
      <c r="E5" s="100"/>
      <c r="F5" s="100"/>
    </row>
    <row r="6" spans="1:8" ht="26.4" x14ac:dyDescent="0.3">
      <c r="A6" s="102"/>
      <c r="B6" s="103" t="s">
        <v>203</v>
      </c>
      <c r="C6" s="103"/>
      <c r="D6" s="104" t="s">
        <v>1534</v>
      </c>
      <c r="E6" s="103"/>
      <c r="F6" s="104" t="s">
        <v>478</v>
      </c>
    </row>
    <row r="7" spans="1:8" x14ac:dyDescent="0.3">
      <c r="A7" s="105" t="s">
        <v>205</v>
      </c>
      <c r="B7" s="106"/>
      <c r="C7" s="106"/>
      <c r="D7" s="107"/>
      <c r="E7" s="106"/>
      <c r="F7" s="107"/>
    </row>
    <row r="8" spans="1:8" x14ac:dyDescent="0.3">
      <c r="A8" s="105" t="s">
        <v>206</v>
      </c>
      <c r="B8" s="108"/>
      <c r="C8" s="108"/>
      <c r="D8" s="108"/>
      <c r="E8" s="108"/>
      <c r="F8" s="108"/>
    </row>
    <row r="9" spans="1:8" x14ac:dyDescent="0.3">
      <c r="A9" s="109" t="s">
        <v>162</v>
      </c>
      <c r="B9" s="110">
        <v>3</v>
      </c>
      <c r="C9" s="108"/>
      <c r="D9" s="111">
        <f>+'Nota 3'!B14</f>
        <v>10781204612</v>
      </c>
      <c r="E9" s="108"/>
      <c r="F9" s="111">
        <v>8439245256</v>
      </c>
    </row>
    <row r="10" spans="1:8" ht="15.9" hidden="1" customHeight="1" x14ac:dyDescent="0.3">
      <c r="A10" s="109" t="s">
        <v>207</v>
      </c>
      <c r="B10" s="108"/>
      <c r="C10" s="108"/>
      <c r="D10" s="112">
        <v>0</v>
      </c>
      <c r="E10" s="108"/>
      <c r="F10" s="112">
        <v>0</v>
      </c>
    </row>
    <row r="11" spans="1:8" x14ac:dyDescent="0.3">
      <c r="A11" s="109" t="s">
        <v>208</v>
      </c>
      <c r="B11" s="110">
        <v>4</v>
      </c>
      <c r="C11" s="108"/>
      <c r="D11" s="112">
        <f>+'Nota 4'!B11</f>
        <v>28623406508</v>
      </c>
      <c r="E11" s="108"/>
      <c r="F11" s="112">
        <v>17326081848</v>
      </c>
    </row>
    <row r="12" spans="1:8" x14ac:dyDescent="0.3">
      <c r="A12" s="109" t="s">
        <v>68</v>
      </c>
      <c r="B12" s="110">
        <v>5</v>
      </c>
      <c r="C12" s="108"/>
      <c r="D12" s="112">
        <f>+'Nota 5'!B18</f>
        <v>10449556863</v>
      </c>
      <c r="E12" s="108"/>
      <c r="F12" s="112">
        <v>5239225433</v>
      </c>
    </row>
    <row r="13" spans="1:8" ht="15" customHeight="1" x14ac:dyDescent="0.3">
      <c r="A13" s="113" t="s">
        <v>169</v>
      </c>
      <c r="B13" s="110">
        <v>6</v>
      </c>
      <c r="C13" s="108"/>
      <c r="D13" s="112">
        <f>+'Nota 6'!B13</f>
        <v>170910889951</v>
      </c>
      <c r="E13" s="108"/>
      <c r="F13" s="112">
        <v>203485576319</v>
      </c>
    </row>
    <row r="14" spans="1:8" x14ac:dyDescent="0.3">
      <c r="A14" s="105" t="s">
        <v>209</v>
      </c>
      <c r="B14" s="108"/>
      <c r="C14" s="108"/>
      <c r="D14" s="114">
        <f>SUM(D9:D13)</f>
        <v>220765057934</v>
      </c>
      <c r="E14" s="108"/>
      <c r="F14" s="114">
        <f>SUM(F9:F13)</f>
        <v>234490128856</v>
      </c>
    </row>
    <row r="15" spans="1:8" x14ac:dyDescent="0.3">
      <c r="A15" s="105"/>
      <c r="B15" s="108"/>
      <c r="C15" s="108"/>
      <c r="D15" s="108"/>
      <c r="E15" s="108"/>
      <c r="F15" s="108"/>
    </row>
    <row r="16" spans="1:8" x14ac:dyDescent="0.3">
      <c r="A16" s="105" t="s">
        <v>210</v>
      </c>
      <c r="B16" s="108"/>
      <c r="C16" s="108"/>
      <c r="D16" s="108"/>
      <c r="E16" s="108"/>
      <c r="F16" s="108"/>
    </row>
    <row r="17" spans="1:8" x14ac:dyDescent="0.3">
      <c r="A17" s="115" t="s">
        <v>211</v>
      </c>
      <c r="B17" s="110">
        <v>4</v>
      </c>
      <c r="C17" s="108"/>
      <c r="D17" s="112">
        <f>+'Nota 4'!B17</f>
        <v>1703680679</v>
      </c>
      <c r="E17" s="108"/>
      <c r="F17" s="112">
        <v>1563872324</v>
      </c>
    </row>
    <row r="18" spans="1:8" ht="15.9" customHeight="1" x14ac:dyDescent="0.3">
      <c r="A18" s="113" t="s">
        <v>212</v>
      </c>
      <c r="B18" s="110">
        <v>5</v>
      </c>
      <c r="C18" s="108"/>
      <c r="D18" s="112">
        <v>0</v>
      </c>
      <c r="E18" s="108"/>
      <c r="F18" s="112">
        <v>0</v>
      </c>
    </row>
    <row r="19" spans="1:8" ht="15.9" customHeight="1" x14ac:dyDescent="0.3">
      <c r="A19" s="109" t="s">
        <v>213</v>
      </c>
      <c r="B19" s="110">
        <v>7</v>
      </c>
      <c r="C19" s="108"/>
      <c r="D19" s="112">
        <f>+'Nota 7'!B22-'Nota 7'!B14-'Nota 7'!B21</f>
        <v>241099819727</v>
      </c>
      <c r="E19" s="108"/>
      <c r="F19" s="112">
        <v>171691693307</v>
      </c>
      <c r="H19" s="531"/>
    </row>
    <row r="20" spans="1:8" ht="15.9" customHeight="1" x14ac:dyDescent="0.3">
      <c r="A20" s="109" t="s">
        <v>214</v>
      </c>
      <c r="B20" s="110">
        <v>7</v>
      </c>
      <c r="C20" s="108"/>
      <c r="D20" s="112">
        <f>+'Nota 7'!B14+'Nota 7'!B21</f>
        <v>4058497263</v>
      </c>
      <c r="E20" s="108"/>
      <c r="F20" s="112">
        <v>4296580219</v>
      </c>
      <c r="H20" s="531"/>
    </row>
    <row r="21" spans="1:8" x14ac:dyDescent="0.3">
      <c r="A21" s="105" t="s">
        <v>215</v>
      </c>
      <c r="B21" s="108"/>
      <c r="C21" s="108"/>
      <c r="D21" s="114">
        <f>SUM(D17:D20)</f>
        <v>246861997669</v>
      </c>
      <c r="E21" s="108"/>
      <c r="F21" s="114">
        <f>SUM(F17:F20)</f>
        <v>177552145850</v>
      </c>
    </row>
    <row r="22" spans="1:8" x14ac:dyDescent="0.3">
      <c r="A22" s="105"/>
      <c r="B22" s="108"/>
      <c r="C22" s="108"/>
      <c r="D22" s="108"/>
      <c r="E22" s="108"/>
      <c r="F22" s="108"/>
    </row>
    <row r="23" spans="1:8" ht="16.2" thickBot="1" x14ac:dyDescent="0.35">
      <c r="A23" s="105" t="s">
        <v>216</v>
      </c>
      <c r="B23" s="108"/>
      <c r="C23" s="108"/>
      <c r="D23" s="116">
        <f>+D21+D14</f>
        <v>467627055603</v>
      </c>
      <c r="E23" s="108"/>
      <c r="F23" s="116">
        <f>+F21+F14</f>
        <v>412042274706</v>
      </c>
      <c r="H23" s="533">
        <f>+D23-'2023'!E223</f>
        <v>0</v>
      </c>
    </row>
    <row r="24" spans="1:8" ht="16.2" thickTop="1" x14ac:dyDescent="0.3">
      <c r="A24" s="105"/>
      <c r="B24" s="108"/>
      <c r="C24" s="108"/>
      <c r="D24" s="117"/>
      <c r="E24" s="108"/>
      <c r="F24" s="117"/>
    </row>
    <row r="25" spans="1:8" x14ac:dyDescent="0.3">
      <c r="A25" s="118" t="s">
        <v>217</v>
      </c>
      <c r="B25" s="108"/>
      <c r="C25" s="108"/>
      <c r="D25" s="108"/>
      <c r="E25" s="108"/>
      <c r="F25" s="108"/>
    </row>
    <row r="26" spans="1:8" x14ac:dyDescent="0.3">
      <c r="A26" s="118" t="s">
        <v>218</v>
      </c>
      <c r="B26" s="108"/>
      <c r="C26" s="108"/>
      <c r="D26" s="108"/>
      <c r="E26" s="108"/>
      <c r="F26" s="108"/>
    </row>
    <row r="27" spans="1:8" x14ac:dyDescent="0.3">
      <c r="A27" s="119" t="s">
        <v>219</v>
      </c>
      <c r="B27" s="110">
        <v>8</v>
      </c>
      <c r="C27" s="108"/>
      <c r="D27" s="111">
        <f>+'Nota 8'!B14</f>
        <v>33660526877</v>
      </c>
      <c r="E27" s="108"/>
      <c r="F27" s="111">
        <v>68592883528</v>
      </c>
    </row>
    <row r="28" spans="1:8" x14ac:dyDescent="0.3">
      <c r="A28" s="119" t="s">
        <v>183</v>
      </c>
      <c r="B28" s="110">
        <v>9</v>
      </c>
      <c r="C28" s="108"/>
      <c r="D28" s="111">
        <f>+'Nota 9'!B10</f>
        <v>48088353101</v>
      </c>
      <c r="E28" s="108"/>
      <c r="F28" s="111">
        <v>14147214357</v>
      </c>
    </row>
    <row r="29" spans="1:8" x14ac:dyDescent="0.3">
      <c r="A29" s="119" t="s">
        <v>220</v>
      </c>
      <c r="B29" s="110">
        <v>10</v>
      </c>
      <c r="C29" s="108"/>
      <c r="D29" s="111">
        <f>+'Nota 10'!B10</f>
        <v>4129875469.5999756</v>
      </c>
      <c r="E29" s="108"/>
      <c r="F29" s="111">
        <v>2226252415</v>
      </c>
    </row>
    <row r="30" spans="1:8" x14ac:dyDescent="0.3">
      <c r="A30" s="118" t="s">
        <v>221</v>
      </c>
      <c r="B30" s="108"/>
      <c r="C30" s="108"/>
      <c r="D30" s="120">
        <f>SUM(D27:D29)</f>
        <v>85878755447.599976</v>
      </c>
      <c r="E30" s="108"/>
      <c r="F30" s="120">
        <f>SUM(F27:F29)</f>
        <v>84966350300</v>
      </c>
    </row>
    <row r="31" spans="1:8" x14ac:dyDescent="0.3">
      <c r="A31" s="105"/>
      <c r="B31" s="108"/>
      <c r="C31" s="108"/>
      <c r="D31" s="108"/>
      <c r="E31" s="108"/>
      <c r="F31" s="108"/>
    </row>
    <row r="32" spans="1:8" x14ac:dyDescent="0.3">
      <c r="A32" s="118" t="s">
        <v>222</v>
      </c>
      <c r="B32" s="108"/>
      <c r="C32" s="108"/>
      <c r="D32" s="108"/>
      <c r="E32" s="108"/>
      <c r="F32" s="108"/>
    </row>
    <row r="33" spans="1:8" x14ac:dyDescent="0.3">
      <c r="A33" s="119" t="s">
        <v>223</v>
      </c>
      <c r="B33" s="110">
        <v>9</v>
      </c>
      <c r="C33" s="108"/>
      <c r="D33" s="111">
        <f>+'Nota 9'!B22</f>
        <v>148728985928.99786</v>
      </c>
      <c r="E33" s="108"/>
      <c r="F33" s="111">
        <v>97178791077</v>
      </c>
    </row>
    <row r="34" spans="1:8" x14ac:dyDescent="0.3">
      <c r="A34" s="119" t="s">
        <v>224</v>
      </c>
      <c r="B34" s="110">
        <v>10</v>
      </c>
      <c r="C34" s="108"/>
      <c r="D34" s="111">
        <f>+'Nota 10'!B14</f>
        <v>97794504</v>
      </c>
      <c r="E34" s="108"/>
      <c r="F34" s="111">
        <v>97794504</v>
      </c>
    </row>
    <row r="35" spans="1:8" x14ac:dyDescent="0.3">
      <c r="A35" s="118" t="s">
        <v>225</v>
      </c>
      <c r="B35" s="108"/>
      <c r="C35" s="108"/>
      <c r="D35" s="120">
        <f>SUM(D33:D34)</f>
        <v>148826780432.99786</v>
      </c>
      <c r="E35" s="108"/>
      <c r="F35" s="120">
        <f>SUM(F33:F34)</f>
        <v>97276585581</v>
      </c>
    </row>
    <row r="36" spans="1:8" x14ac:dyDescent="0.3">
      <c r="A36" s="118"/>
      <c r="B36" s="108"/>
      <c r="C36" s="108"/>
      <c r="D36" s="108"/>
      <c r="E36" s="108"/>
      <c r="F36" s="108"/>
    </row>
    <row r="37" spans="1:8" x14ac:dyDescent="0.3">
      <c r="A37" s="118" t="s">
        <v>226</v>
      </c>
      <c r="B37" s="108"/>
      <c r="C37" s="108"/>
      <c r="D37" s="121">
        <f>+D35+D30</f>
        <v>234705535880.59784</v>
      </c>
      <c r="E37" s="108"/>
      <c r="F37" s="121">
        <f>+F35+F30</f>
        <v>182242935881</v>
      </c>
    </row>
    <row r="38" spans="1:8" x14ac:dyDescent="0.3">
      <c r="A38" s="105"/>
      <c r="B38" s="108"/>
      <c r="C38" s="108"/>
      <c r="D38" s="108"/>
      <c r="E38" s="108"/>
      <c r="F38" s="108"/>
    </row>
    <row r="39" spans="1:8" x14ac:dyDescent="0.3">
      <c r="A39" s="118" t="s">
        <v>227</v>
      </c>
      <c r="B39" s="117"/>
      <c r="C39" s="117"/>
      <c r="D39" s="117"/>
      <c r="E39" s="117"/>
      <c r="F39" s="117"/>
    </row>
    <row r="40" spans="1:8" x14ac:dyDescent="0.3">
      <c r="A40" s="119" t="s">
        <v>228</v>
      </c>
      <c r="B40" s="110">
        <v>11</v>
      </c>
      <c r="C40" s="108"/>
      <c r="D40" s="111">
        <v>192173016224</v>
      </c>
      <c r="E40" s="108"/>
      <c r="F40" s="111">
        <v>192173016224</v>
      </c>
      <c r="H40" s="126"/>
    </row>
    <row r="41" spans="1:8" x14ac:dyDescent="0.3">
      <c r="A41" s="119" t="s">
        <v>229</v>
      </c>
      <c r="B41" s="108"/>
      <c r="C41" s="108"/>
      <c r="D41" s="111">
        <v>0</v>
      </c>
      <c r="E41" s="108"/>
      <c r="F41" s="111">
        <v>0</v>
      </c>
    </row>
    <row r="42" spans="1:8" x14ac:dyDescent="0.3">
      <c r="A42" s="119" t="s">
        <v>86</v>
      </c>
      <c r="B42" s="108"/>
      <c r="C42" s="108"/>
      <c r="D42" s="111">
        <v>0</v>
      </c>
      <c r="E42" s="108"/>
      <c r="F42" s="111">
        <v>0</v>
      </c>
    </row>
    <row r="43" spans="1:8" x14ac:dyDescent="0.3">
      <c r="A43" s="119" t="s">
        <v>230</v>
      </c>
      <c r="B43" s="110">
        <v>12</v>
      </c>
      <c r="C43" s="108"/>
      <c r="D43" s="111">
        <v>11423641075</v>
      </c>
      <c r="E43" s="108"/>
      <c r="F43" s="111">
        <v>11423641075</v>
      </c>
      <c r="H43" s="126"/>
    </row>
    <row r="44" spans="1:8" ht="15.9" customHeight="1" x14ac:dyDescent="0.3">
      <c r="A44" s="119" t="s">
        <v>88</v>
      </c>
      <c r="B44" s="110">
        <v>12</v>
      </c>
      <c r="C44" s="108"/>
      <c r="D44" s="111">
        <v>2720132014</v>
      </c>
      <c r="E44" s="108"/>
      <c r="F44" s="111">
        <v>2720132014</v>
      </c>
      <c r="H44" s="126"/>
    </row>
    <row r="45" spans="1:8" x14ac:dyDescent="0.3">
      <c r="A45" s="119" t="s">
        <v>91</v>
      </c>
      <c r="B45" s="110">
        <v>13</v>
      </c>
      <c r="C45" s="108"/>
      <c r="D45" s="111">
        <v>23482533132</v>
      </c>
      <c r="E45" s="108"/>
      <c r="F45" s="111">
        <v>17763825535</v>
      </c>
      <c r="G45" s="126"/>
      <c r="H45" s="126"/>
    </row>
    <row r="46" spans="1:8" x14ac:dyDescent="0.3">
      <c r="A46" s="119" t="s">
        <v>231</v>
      </c>
      <c r="B46" s="110">
        <v>13</v>
      </c>
      <c r="C46" s="108"/>
      <c r="D46" s="111">
        <f>+'BASE BALANCE'!E229</f>
        <v>3122197277.4000001</v>
      </c>
      <c r="E46" s="108"/>
      <c r="F46" s="111">
        <v>5718723977</v>
      </c>
      <c r="H46" s="126"/>
    </row>
    <row r="47" spans="1:8" x14ac:dyDescent="0.3">
      <c r="A47" s="118" t="s">
        <v>232</v>
      </c>
      <c r="B47" s="108"/>
      <c r="C47" s="108"/>
      <c r="D47" s="527">
        <f>SUM(D40:D46)</f>
        <v>232921519722.39999</v>
      </c>
      <c r="E47" s="108"/>
      <c r="F47" s="527">
        <f>SUM(F40:F46)</f>
        <v>229799338825</v>
      </c>
      <c r="H47" s="126"/>
    </row>
    <row r="48" spans="1:8" x14ac:dyDescent="0.3">
      <c r="A48" s="105"/>
      <c r="B48" s="108"/>
      <c r="C48" s="108"/>
      <c r="D48" s="108"/>
      <c r="E48" s="108"/>
      <c r="F48" s="108"/>
    </row>
    <row r="49" spans="1:6" ht="16.2" thickBot="1" x14ac:dyDescent="0.35">
      <c r="A49" s="118" t="s">
        <v>233</v>
      </c>
      <c r="B49" s="108"/>
      <c r="C49" s="108"/>
      <c r="D49" s="122">
        <f>+D47+D37</f>
        <v>467627055602.9978</v>
      </c>
      <c r="E49" s="108"/>
      <c r="F49" s="122">
        <f>+F47+F37</f>
        <v>412042274706</v>
      </c>
    </row>
    <row r="50" spans="1:6" ht="13.5" customHeight="1" thickTop="1" x14ac:dyDescent="0.3">
      <c r="A50" s="119"/>
      <c r="B50" s="108"/>
      <c r="C50" s="108"/>
      <c r="D50" s="108"/>
      <c r="E50" s="108"/>
      <c r="F50" s="108"/>
    </row>
    <row r="51" spans="1:6" hidden="1" x14ac:dyDescent="0.3">
      <c r="A51" s="123" t="s">
        <v>234</v>
      </c>
      <c r="B51" s="124"/>
      <c r="C51" s="124"/>
      <c r="D51" s="124"/>
      <c r="E51" s="124"/>
      <c r="F51" s="124"/>
    </row>
    <row r="52" spans="1:6" x14ac:dyDescent="0.3">
      <c r="A52" s="123"/>
      <c r="B52" s="124"/>
      <c r="C52" s="124"/>
      <c r="D52" s="125">
        <f>+D49-D23</f>
        <v>-2.197265625E-3</v>
      </c>
      <c r="E52" s="124"/>
      <c r="F52" s="125">
        <f>+F49-F23</f>
        <v>0</v>
      </c>
    </row>
    <row r="54" spans="1:6" x14ac:dyDescent="0.3">
      <c r="D54" s="126">
        <f>+D45-'Nota 13'!B8</f>
        <v>0</v>
      </c>
    </row>
    <row r="55" spans="1:6" x14ac:dyDescent="0.3">
      <c r="D55" s="126"/>
    </row>
    <row r="56" spans="1:6" x14ac:dyDescent="0.3">
      <c r="D56" s="558"/>
    </row>
  </sheetData>
  <mergeCells count="3">
    <mergeCell ref="A1:F1"/>
    <mergeCell ref="A2:F2"/>
    <mergeCell ref="A3:F3"/>
  </mergeCells>
  <hyperlinks>
    <hyperlink ref="H1" location="Indice!D12" display="BG" xr:uid="{73378AF3-7A5D-0149-86EA-D6D2E6FCB029}"/>
    <hyperlink ref="B9" location="'Nota 3'!A1" display="'Nota 3'!A1" xr:uid="{3AB89760-7444-624F-9195-8A6DFDF820E1}"/>
    <hyperlink ref="G1" location="Indice!D12" display="Indice" xr:uid="{6DD21429-0CD5-3E45-9DAC-212A5CE1D8AE}"/>
    <hyperlink ref="B11" location="'Nota 4'!A1" display="'Nota 4'!A1" xr:uid="{5AE38D89-83E9-0D49-86B3-5D37CAD1738A}"/>
    <hyperlink ref="B12" location="'Nota 5'!A1" display="'Nota 5'!A1" xr:uid="{CC33875B-E143-5B44-A358-76FDC738FDC5}"/>
    <hyperlink ref="B13" location="'Nota 6'!A1" display="'Nota 6'!A1" xr:uid="{5DB96F8E-E09C-4E45-88E0-A84EC9FE13A3}"/>
    <hyperlink ref="B17" location="'Nota 4'!A1" display="'Nota 4'!A1" xr:uid="{7718BF79-6AB3-BF41-8D16-5997AC0E0501}"/>
    <hyperlink ref="B18" location="'Nota 5'!A1" display="'Nota 5'!A1" xr:uid="{9EC6A3C6-C7F0-0B45-8D3F-FA2D005EA7D8}"/>
    <hyperlink ref="B27" location="'Nota 8'!A1" display="'Nota 8'!A1" xr:uid="{9C54F09E-0444-EA44-8046-79FA9B4E690F}"/>
    <hyperlink ref="B28" location="'Nota 9'!A1" display="'Nota 9'!A1" xr:uid="{D9435FE5-91AE-D54E-9C78-2E2F463A6FFC}"/>
    <hyperlink ref="B29" location="'Nota 10'!A1" display="'Nota 10'!A1" xr:uid="{11B63E49-FF49-DB40-B12E-DC0DA9B5EFA5}"/>
    <hyperlink ref="B33" location="'Nota 9'!A1" display="'Nota 9'!A1" xr:uid="{10ABC7CC-7BF6-ED4A-888C-6EB4F98B338F}"/>
    <hyperlink ref="B34" location="'Nota 10'!A1" display="'Nota 10'!A1" xr:uid="{6FEB9C4A-A853-4C44-AEEE-1469540E7289}"/>
    <hyperlink ref="B19" location="'Nota 7'!M20" display="'Nota 7'!M20" xr:uid="{7A5A9AE5-18CE-D549-BF1B-988963E0C322}"/>
    <hyperlink ref="B20" location="'Nota 7'!H24" display="'Nota 7'!H24" xr:uid="{BBC0C6D5-E3F5-8D44-9EE1-9E48E884E3CE}"/>
    <hyperlink ref="B40" location="'Nota 11'!A1" display="'Nota 11'!A1" xr:uid="{5329C7FC-5690-2843-B75F-C031613BF331}"/>
    <hyperlink ref="B43" location="'Nota 12'!A1" display="'Nota 12'!A1" xr:uid="{6222A90B-064F-9445-97CC-E1D3FF1AB74D}"/>
    <hyperlink ref="B44" location="'Nota 12'!A1" display="'Nota 12'!A1" xr:uid="{038CF2B9-3278-2F49-98FF-421F6A7CA8ED}"/>
    <hyperlink ref="B46" location="'Nota 13'!A1" display="'Nota 13'!A1" xr:uid="{BD1BAE84-82CD-1942-90A6-36833505B5F8}"/>
    <hyperlink ref="B45" location="'Nota 13'!A1" display="'Nota 13'!A1" xr:uid="{6E33DEB6-13E0-421B-9126-549413B350F3}"/>
  </hyperlinks>
  <pageMargins left="0.7" right="0.7" top="0.75" bottom="0.75" header="0.3" footer="0.3"/>
</worksheet>
</file>

<file path=_xmlsignatures/_rels/origin.sigs.rels><?xml version="1.0" encoding="UTF-8" standalone="yes"?>
<Relationships xmlns="http://schemas.openxmlformats.org/package/2006/relationships"><Relationship Id="rId2" Type="http://schemas.openxmlformats.org/package/2006/relationships/digital-signature/signature" Target="sig3.xml"/><Relationship Id="rId1" Type="http://schemas.openxmlformats.org/package/2006/relationships/digital-signature/signature" Target="sig1.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bOQRN8Lg5Vbki9qjQlya7uTALgtiBg2ADOfGFNogX+Y=</DigestValue>
    </Reference>
    <Reference Type="http://www.w3.org/2000/09/xmldsig#Object" URI="#idOfficeObject">
      <DigestMethod Algorithm="http://www.w3.org/2001/04/xmlenc#sha256"/>
      <DigestValue>LYvwvIr8ewOp8vA1bC14qVqaIFQnts0sySET6rq0Tn4=</DigestValue>
    </Reference>
    <Reference Type="http://uri.etsi.org/01903#SignedProperties" URI="#idSignedProperties">
      <Transforms>
        <Transform Algorithm="http://www.w3.org/TR/2001/REC-xml-c14n-20010315"/>
      </Transforms>
      <DigestMethod Algorithm="http://www.w3.org/2001/04/xmlenc#sha256"/>
      <DigestValue>pN/N23kUqWPaNewWE+5nzzjoyfZbITW1Q3So3EwMexA=</DigestValue>
    </Reference>
    <Reference Type="http://www.w3.org/2000/09/xmldsig#Object" URI="#idValidSigLnImg">
      <DigestMethod Algorithm="http://www.w3.org/2001/04/xmlenc#sha256"/>
      <DigestValue>Zzs+UQLgyL5r8jqvN8MXgG48qyHuRWL8Y6536lxnYgA=</DigestValue>
    </Reference>
    <Reference Type="http://www.w3.org/2000/09/xmldsig#Object" URI="#idInvalidSigLnImg">
      <DigestMethod Algorithm="http://www.w3.org/2001/04/xmlenc#sha256"/>
      <DigestValue>NQH2QqolVw9WBFR84+N1Jpyd+zPAkaU2IyBoE0agBQg=</DigestValue>
    </Reference>
  </SignedInfo>
  <SignatureValue>Hf3KWbDhefD7ugJ4BrHuPBVNU4evGVdfzkYI0HMJ4o8kBZ5/GlNfxG2PCgQhYlBN0BYph27b64Gi
5IrBSaE1JuCzC0NQ9+/cw5naQF6xc7lvxL4IDCLumG56RPwNhRWnCubX/0bPOa/6nd9V685J6gFY
HWFIOpNEp0R9AgUGBtVLS0dHs6dVOcHB/jiT6ad853YJOooDxQXO7YeOdReXieKBrvQnhpfINgEq
z4y5A6SBpNIik5JArySsnwfzDlxYsYjOEUfo6NkUT1PdlMq060UjScch2DLAcBhGpyFBpY6I7Fg4
URDpygyj9vZ3tfJmk8ZvmKYZUWXFLJIqzJ+t2w==</SignatureValue>
  <KeyInfo>
    <X509Data>
      <X509Certificate>MIIH+jCCBeKgAwIBAgIIQzXRUaGnn1EwDQYJKoZIhvcNAQELBQAwWzEXMBUGA1UEBRMOUlVDIDgwMDUwMTcyLTExGjAYBgNVBAMTEUNBLURPQ1VNRU5UQSBTLkEuMRcwFQYDVQQKEw5ET0NVTUVOVEEgUy5BLjELMAkGA1UEBhMCUFkwHhcNMjIwMzIzMTY0MTQzWhcNMjQwMzIyMTY1MTQzWjCBnzELMAkGA1UEBhMCUFkxGTAXBgNVBAQMEFNBTE9NT04gQ09ORUpFUk8xEjAQBgNVBAUTCUNJMTMwMzUyOTERMA8GA1UEKgwITEVPTkFSRE8xFzAVBgNVBAoMDlBFUlNPTkEgRklTSUNBMREwDwYDVQQLDAhGSVJNQSBGMjEiMCAGA1UEAwwZTEVPTkFSRE8gU0FMT01PTiBDT05FSkVSTzCCASIwDQYJKoZIhvcNAQEBBQADggEPADCCAQoCggEBAN5gzAXQLQ1NZpHEd4XsOiuTtAOcTv3R7MMHFY0741HM9QYxMoy++tVQ3Zuji1o5YEhRvZrJ96SFxHBzLUmUNd5CQuqezD2sK1UzWaPobbXktasAEfCfdvWEcGilWZhvU2VgnRfUhimLW5QEUypsdm6sNxEnTLQIAADlRDgdF4rpSJ0I56sSPNbfUJAcqaya73YrsEZ5I/FwUuqKGHzDP5mpdiOXvpp96Y6uui8uZr+GMiDXgU5AiL+bJ0o+XmAgw2y5+reAxaHRfqFgwFyj8Lww12GnmeNdacumPUEUd7rVxDB+xtWFl/pbjV6JrpW4/HpXOSHXVLIX+vooQ4BTjpMCAwEAAaOCA3swggN3MAwGA1UdEwEB/wQCMAAwDgYDVR0PAQH/BAQDAgXgMCoGA1UdJQEB/wQgMB4GCCsGAQUFBwMBBggrBgEFBQcDAgYIKwYBBQUHAwQwHQYDVR0OBBYEFK0ScDKpe1bsK6i3WI1ecKl0cRvIMIGXBggrBgEFBQcBAQSBijCBhzA6BggrBgEFBQcwAYYuaHR0cHM6Ly93d3cuZG9jdW1lbnRhLmNvbS5weS9maXJtYWRpZ2l0YWwvb3NjcDBJBggrBgEFBQcwAoY9aHR0cHM6Ly93d3cuZG9jdW1lbnRhLmNvbS5weS9maXJtYWRpZ2l0YWwvZGVzY2FyZ2FzL2NhZG9jLmNydDAfBgNVHSMEGDAWgBRAJqwmXGKPxvUCVOSNwRom1u6lsjBPBgNVHR8ESDBGMESgQqBAhj5odHRwczovL3d3dy5kb2N1bWVudGEuY29tLnB5L2Zpcm1hZGlnaXRhbC9kZXNjYXJnYXMvY3JsZG9jLmNybDAfBgNVHREEGDAWgRRsc2Fsb21vbkBob3RtYWlsLmNvbTCCAd0GA1UdIASCAdQwggHQMIIBzAYOKwYBBAGC+TsBAQEGAQEwggG4MD8GCCsGAQUFBwIBFjNodHRwczovL3d3dy5kb2N1bWVudGEuY29tLnB5L2Zpcm1hZGlnaXRhbC9kZXNjYXJnYXMwgcAGCCsGAQUFBwICMIGzGoGwRXN0ZSBlcyB1biBjZXJ0aWZpY2FkbyBkZSBwZXJzb25hIGbtc2ljYSBjdXlhIGNsYXZlIHByaXZhZGEgZXN04SBjb250ZW5pZGEgZW4gdW4gbfNkdWxvIGRlIGhhcmR3YXJlIHNlZ3VybyB5IHN1IGZpbmFsaWRhZCBlcyBhdXRlbnRpY2FyIGEgc3UgdGl0dWxhciBvIGdlbmVyYXIgZmlybWFzIGRpZ2l0YWxlcy4wgbEGCCsGAQUFBwICMIGkGoGhVGhpcyBpcyBhbiBlbmQgdXNlciBjZXJ0aWZpY2F0ZSB3aG9zZSBwcml2YXRlIGtleSBpcyBlbWJlZGRlZCB3aXRoaW4gYSBzZWN1cmUgaGFyZHdhcmUgbW9kdWxlIHRoYXQgYWltcyB0byBhdXRoZW50aWNhdGUgaXRzIG93bmVyIG9yIGdlbmVyYXRlIGRpZ2l0YWwgc2lnbmF0dXJlcy4wDQYJKoZIhvcNAQELBQADggIBAJ7UNbXEmgFfMITZBjXu4zY23ukm1nNmSP/7qjQd1tlE3dE+a08UCHFyvvw49gFLr2fhvRQTruTMM3DTKiJdLKjPjChfMPdcp0Dvv/SuaP0w+WsCNkW/VqlkY2aFpWaK8h4VMMOwmYbvGKuDrJSaAwLQTHs6x/CfKZVXgXcEvqasJO4F+vB/sis4JL8sL/25TuliY51UVMA5XkeZBpwcnRpka4iJbWbWEXN8Ijoo9p4kzqf+PQWRTL46Llgwi6+MBzIZdx75gQf7z9HGoaMbvZdqseTEYU0iEMJtJK7Q6nlrvx6d8LaQsMZkfGsuF7/HqRdYLkP154HgXvsaW7msrDnmXNxmkomvjV8HBAW5VYGXHTz79IVjD4tm7ZbarTLfhP+Q+GqxK7ZCNwXrNm58DHOR0ARMMI8aZ40Rn2nAXvGnd/9PI3mefxZlfDkmw1GmLb5aL4M2IJ3bCd24FDKzrII4bsnDderoUazXIzQE4vrKU7hvti6RZKAPf48VeKzI153px8qTg0ewpBQRQeuXeC4L2IrJxcqQXuw2l77G05x3muLAZw5djjCTW1fPeMICC4btze0Z43mfh+vSkYL/0opf6LPvZXobdVS48ZgS3H2HTcQ6PwpQl2I3qGz/zM8JdKGU8KoNBXH0MhxKNsMZHpGYZQEhGXSELS8V47qq2MIj</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24"/>
            <mdssi:RelationshipReference xmlns:mdssi="http://schemas.openxmlformats.org/package/2006/digital-signature" SourceId="rId32"/>
            <mdssi:RelationshipReference xmlns:mdssi="http://schemas.openxmlformats.org/package/2006/digital-signature" SourceId="rId37"/>
            <mdssi:RelationshipReference xmlns:mdssi="http://schemas.openxmlformats.org/package/2006/digital-signature" SourceId="rId40"/>
            <mdssi:RelationshipReference xmlns:mdssi="http://schemas.openxmlformats.org/package/2006/digital-signature" SourceId="rId45"/>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23"/>
            <mdssi:RelationshipReference xmlns:mdssi="http://schemas.openxmlformats.org/package/2006/digital-signature" SourceId="rId28"/>
            <mdssi:RelationshipReference xmlns:mdssi="http://schemas.openxmlformats.org/package/2006/digital-signature" SourceId="rId36"/>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31"/>
            <mdssi:RelationshipReference xmlns:mdssi="http://schemas.openxmlformats.org/package/2006/digital-signature" SourceId="rId44"/>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27"/>
            <mdssi:RelationshipReference xmlns:mdssi="http://schemas.openxmlformats.org/package/2006/digital-signature" SourceId="rId30"/>
            <mdssi:RelationshipReference xmlns:mdssi="http://schemas.openxmlformats.org/package/2006/digital-signature" SourceId="rId35"/>
            <mdssi:RelationshipReference xmlns:mdssi="http://schemas.openxmlformats.org/package/2006/digital-signature" SourceId="rId43"/>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5"/>
            <mdssi:RelationshipReference xmlns:mdssi="http://schemas.openxmlformats.org/package/2006/digital-signature" SourceId="rId33"/>
            <mdssi:RelationshipReference xmlns:mdssi="http://schemas.openxmlformats.org/package/2006/digital-signature" SourceId="rId38"/>
            <mdssi:RelationshipReference xmlns:mdssi="http://schemas.openxmlformats.org/package/2006/digital-signature" SourceId="rId20"/>
            <mdssi:RelationshipReference xmlns:mdssi="http://schemas.openxmlformats.org/package/2006/digital-signature" SourceId="rId41"/>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26"/>
            <mdssi:RelationshipReference xmlns:mdssi="http://schemas.openxmlformats.org/package/2006/digital-signature" SourceId="rId39"/>
            <mdssi:RelationshipReference xmlns:mdssi="http://schemas.openxmlformats.org/package/2006/digital-signature" SourceId="rId21"/>
            <mdssi:RelationshipReference xmlns:mdssi="http://schemas.openxmlformats.org/package/2006/digital-signature" SourceId="rId34"/>
            <mdssi:RelationshipReference xmlns:mdssi="http://schemas.openxmlformats.org/package/2006/digital-signature" SourceId="rId42"/>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9"/>
          </Transform>
          <Transform Algorithm="http://www.w3.org/TR/2001/REC-xml-c14n-20010315"/>
        </Transforms>
        <DigestMethod Algorithm="http://www.w3.org/2001/04/xmlenc#sha256"/>
        <DigestValue>9XkSf1SRfUnhOgYq+blJzI9NcTaJAUwdbv+wnSwuuJM=</DigestValue>
      </Reference>
      <Reference URI="/xl/calcChain.xml?ContentType=application/vnd.openxmlformats-officedocument.spreadsheetml.calcChain+xml">
        <DigestMethod Algorithm="http://www.w3.org/2001/04/xmlenc#sha256"/>
        <DigestValue>iNxu4ZtzLu9V/lyOn+mWC2koclFrACJ11WATlrBkiZk=</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S9Sj+Tzwipf0w/2Q1Awt/nmWcha+RGDwfrceJMwrk+Q=</DigestValue>
      </Reference>
      <Reference URI="/xl/drawings/drawing1.xml?ContentType=application/vnd.openxmlformats-officedocument.drawing+xml">
        <DigestMethod Algorithm="http://www.w3.org/2001/04/xmlenc#sha256"/>
        <DigestValue>pJLN690YVOimXA7eZMy2zxm9bdfKi+3NIoRlBA5Mg/g=</DigestValue>
      </Reference>
      <Reference URI="/xl/drawings/drawing2.xml?ContentType=application/vnd.openxmlformats-officedocument.drawing+xml">
        <DigestMethod Algorithm="http://www.w3.org/2001/04/xmlenc#sha256"/>
        <DigestValue>97O14Z95jwA9CP29aDX4wVCdguzDaxgHUCf7/g+re/o=</DigestValue>
      </Reference>
      <Reference URI="/xl/drawings/vmlDrawing1.vml?ContentType=application/vnd.openxmlformats-officedocument.vmlDrawing">
        <DigestMethod Algorithm="http://www.w3.org/2001/04/xmlenc#sha256"/>
        <DigestValue>/dHVt5AeaeOd4mV0Nr4ITCe2O6pl5Yj60KYwunnYNrc=</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lP7l/uMViRZHGQAgCqb48BymP/Fi5zMowkHh60woCDk=</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RipJisxMmjP8W7/L6bNMaGEt5Mz+hA597YkfxyfjDNQ=</DigestValue>
      </Reference>
      <Reference URI="/xl/externalLinks/_rels/externalLink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PF0VUb4SlP5N0k6Op1SJE0obiXQCXM2Qz1zzR3u28d0=</DigestValue>
      </Reference>
      <Reference URI="/xl/externalLinks/_rels/externalLink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/CtgroxjrXaRyFhUc13rIn0nPzmTRelvIfpiNjavUV0=</DigestValue>
      </Reference>
      <Reference URI="/xl/externalLinks/_rels/externalLink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vJJaKNLV1qf+78hBiLYDnpqTfOkpSvtMjd3ibgUfWcI=</DigestValue>
      </Reference>
      <Reference URI="/xl/externalLinks/_rels/externalLink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9xtWwwD0ZfabGxRgRwc/TLkLB5ghIz43nBXh0Jf2HOU=</DigestValue>
      </Reference>
      <Reference URI="/xl/externalLinks/externalLink1.xml?ContentType=application/vnd.openxmlformats-officedocument.spreadsheetml.externalLink+xml">
        <DigestMethod Algorithm="http://www.w3.org/2001/04/xmlenc#sha256"/>
        <DigestValue>4olJuQ8J07nQkAUJhGlLwjr0ptS7PKHqFBLsHa/IdiQ=</DigestValue>
      </Reference>
      <Reference URI="/xl/externalLinks/externalLink2.xml?ContentType=application/vnd.openxmlformats-officedocument.spreadsheetml.externalLink+xml">
        <DigestMethod Algorithm="http://www.w3.org/2001/04/xmlenc#sha256"/>
        <DigestValue>0QkKVdAOhNc5GvzpSzrnsyqcNs3nBqKu7BLWxQ0IMq8=</DigestValue>
      </Reference>
      <Reference URI="/xl/externalLinks/externalLink3.xml?ContentType=application/vnd.openxmlformats-officedocument.spreadsheetml.externalLink+xml">
        <DigestMethod Algorithm="http://www.w3.org/2001/04/xmlenc#sha256"/>
        <DigestValue>LXq6spv7nGiD6puep905NQt73kFR/UpIN1gXecgdHf4=</DigestValue>
      </Reference>
      <Reference URI="/xl/externalLinks/externalLink4.xml?ContentType=application/vnd.openxmlformats-officedocument.spreadsheetml.externalLink+xml">
        <DigestMethod Algorithm="http://www.w3.org/2001/04/xmlenc#sha256"/>
        <DigestValue>9346OS+64VzxFYmVBX8Ijiy+vJK6OEQnF45GxL+u5rg=</DigestValue>
      </Reference>
      <Reference URI="/xl/externalLinks/externalLink5.xml?ContentType=application/vnd.openxmlformats-officedocument.spreadsheetml.externalLink+xml">
        <DigestMethod Algorithm="http://www.w3.org/2001/04/xmlenc#sha256"/>
        <DigestValue>Azwjq8A2zMnzVVOqHHneSF3KgzTlHY2nNxn97Bi5kDY=</DigestValue>
      </Reference>
      <Reference URI="/xl/externalLinks/externalLink6.xml?ContentType=application/vnd.openxmlformats-officedocument.spreadsheetml.externalLink+xml">
        <DigestMethod Algorithm="http://www.w3.org/2001/04/xmlenc#sha256"/>
        <DigestValue>2YlvzbIma7udNMAHn8xBeLgCAFwXTqGWt1sENikwgNc=</DigestValue>
      </Reference>
      <Reference URI="/xl/media/image1.png?ContentType=image/png">
        <DigestMethod Algorithm="http://www.w3.org/2001/04/xmlenc#sha256"/>
        <DigestValue>uI0brDbYV6YlPt4INZ8nNezc0jukNpBRcN7vLW78z/8=</DigestValue>
      </Reference>
      <Reference URI="/xl/media/image2.emf?ContentType=image/x-emf">
        <DigestMethod Algorithm="http://www.w3.org/2001/04/xmlenc#sha256"/>
        <DigestValue>znDJXHvIApuOXF77rsH3vaC7Zl81DZ24K8QzGhPfyaw=</DigestValue>
      </Reference>
      <Reference URI="/xl/media/image3.emf?ContentType=image/x-emf">
        <DigestMethod Algorithm="http://www.w3.org/2001/04/xmlenc#sha256"/>
        <DigestValue>TT6hK+D1lDsRjm3cfSG0wYOW596BUBnP4bd5+vv2tUc=</DigestValue>
      </Reference>
      <Reference URI="/xl/sharedStrings.xml?ContentType=application/vnd.openxmlformats-officedocument.spreadsheetml.sharedStrings+xml">
        <DigestMethod Algorithm="http://www.w3.org/2001/04/xmlenc#sha256"/>
        <DigestValue>5MzajmPx7IESjyntly37YqPC6RUISFrct9/HPbIydJ0=</DigestValue>
      </Reference>
      <Reference URI="/xl/styles.xml?ContentType=application/vnd.openxmlformats-officedocument.spreadsheetml.styles+xml">
        <DigestMethod Algorithm="http://www.w3.org/2001/04/xmlenc#sha256"/>
        <DigestValue>wtuG3m+1MshY9YkAIVirodO6lkTOhZFZafBETi2u0B8=</DigestValue>
      </Reference>
      <Reference URI="/xl/theme/theme1.xml?ContentType=application/vnd.openxmlformats-officedocument.theme+xml">
        <DigestMethod Algorithm="http://www.w3.org/2001/04/xmlenc#sha256"/>
        <DigestValue>0od3cWFb7H/9sr1fB3xS8N4PVwSWcnr1ynQI1Jvf//w=</DigestValue>
      </Reference>
      <Reference URI="/xl/workbook.xml?ContentType=application/vnd.openxmlformats-officedocument.spreadsheetml.sheet.main+xml">
        <DigestMethod Algorithm="http://www.w3.org/2001/04/xmlenc#sha256"/>
        <DigestValue>+5ZJZudJ4gCz6t1cilh/cRi3Nznr0eYznCOgvCBY0Es=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ZOZ+2y8KlgARq7v4vsPrD4nIDV4Rqtubx7lLXn+BYVI=</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lHnnYDirKb6jIxGHnqbP97pjMgmbUlToG4p69Ye0Gm8=</DigestValue>
      </Reference>
      <Reference URI="/xl/worksheets/sheet1.xml?ContentType=application/vnd.openxmlformats-officedocument.spreadsheetml.worksheet+xml">
        <DigestMethod Algorithm="http://www.w3.org/2001/04/xmlenc#sha256"/>
        <DigestValue>vqxHwqsgQOhEbEDujP+gnVV41iOqIwN3E+KdUVXd120=</DigestValue>
      </Reference>
      <Reference URI="/xl/worksheets/sheet10.xml?ContentType=application/vnd.openxmlformats-officedocument.spreadsheetml.worksheet+xml">
        <DigestMethod Algorithm="http://www.w3.org/2001/04/xmlenc#sha256"/>
        <DigestValue>Mw22N3IgR0xEfUj6lwhYHPrsMCkPJi9UDrNQIEfUxy8=</DigestValue>
      </Reference>
      <Reference URI="/xl/worksheets/sheet11.xml?ContentType=application/vnd.openxmlformats-officedocument.spreadsheetml.worksheet+xml">
        <DigestMethod Algorithm="http://www.w3.org/2001/04/xmlenc#sha256"/>
        <DigestValue>bpbGacOPGC+p+sUCCmPDCfnX03bY3soCuklTXWK3P08=</DigestValue>
      </Reference>
      <Reference URI="/xl/worksheets/sheet12.xml?ContentType=application/vnd.openxmlformats-officedocument.spreadsheetml.worksheet+xml">
        <DigestMethod Algorithm="http://www.w3.org/2001/04/xmlenc#sha256"/>
        <DigestValue>3fjHlMBFdgqhMxQX7V43yut68Bt4bcYyTm83BsEuBzg=</DigestValue>
      </Reference>
      <Reference URI="/xl/worksheets/sheet13.xml?ContentType=application/vnd.openxmlformats-officedocument.spreadsheetml.worksheet+xml">
        <DigestMethod Algorithm="http://www.w3.org/2001/04/xmlenc#sha256"/>
        <DigestValue>EgE2wvBdH/87fJ4AR9UaFRLpTNSv5GnUfgvY4y/rTvw=</DigestValue>
      </Reference>
      <Reference URI="/xl/worksheets/sheet14.xml?ContentType=application/vnd.openxmlformats-officedocument.spreadsheetml.worksheet+xml">
        <DigestMethod Algorithm="http://www.w3.org/2001/04/xmlenc#sha256"/>
        <DigestValue>uLt46h75QdTEjPb9yxeMbm2sdH9Xy0b624Lf05FIUr0=</DigestValue>
      </Reference>
      <Reference URI="/xl/worksheets/sheet15.xml?ContentType=application/vnd.openxmlformats-officedocument.spreadsheetml.worksheet+xml">
        <DigestMethod Algorithm="http://www.w3.org/2001/04/xmlenc#sha256"/>
        <DigestValue>BqI0Csd4XJrmNaz47hMzvTysLMWrK4CL2JxcWf49oqM=</DigestValue>
      </Reference>
      <Reference URI="/xl/worksheets/sheet16.xml?ContentType=application/vnd.openxmlformats-officedocument.spreadsheetml.worksheet+xml">
        <DigestMethod Algorithm="http://www.w3.org/2001/04/xmlenc#sha256"/>
        <DigestValue>UrkFxHdceMcJ4IU6GnYwDmMajWP+S/sd98l4S6E8h3Y=</DigestValue>
      </Reference>
      <Reference URI="/xl/worksheets/sheet17.xml?ContentType=application/vnd.openxmlformats-officedocument.spreadsheetml.worksheet+xml">
        <DigestMethod Algorithm="http://www.w3.org/2001/04/xmlenc#sha256"/>
        <DigestValue>mR368rldl4gfvxigLP88qpU62gdZbMLUJxdTVRkss70=</DigestValue>
      </Reference>
      <Reference URI="/xl/worksheets/sheet18.xml?ContentType=application/vnd.openxmlformats-officedocument.spreadsheetml.worksheet+xml">
        <DigestMethod Algorithm="http://www.w3.org/2001/04/xmlenc#sha256"/>
        <DigestValue>/X3L2OEamVBdUBSciC/PKCt3VJMPdkCSdA1f+xpny9c=</DigestValue>
      </Reference>
      <Reference URI="/xl/worksheets/sheet19.xml?ContentType=application/vnd.openxmlformats-officedocument.spreadsheetml.worksheet+xml">
        <DigestMethod Algorithm="http://www.w3.org/2001/04/xmlenc#sha256"/>
        <DigestValue>PwcTIBJGzGUQTDnmg7xLavtfFZcxb8Dsiaz/FBR8DX0=</DigestValue>
      </Reference>
      <Reference URI="/xl/worksheets/sheet2.xml?ContentType=application/vnd.openxmlformats-officedocument.spreadsheetml.worksheet+xml">
        <DigestMethod Algorithm="http://www.w3.org/2001/04/xmlenc#sha256"/>
        <DigestValue>k9MdtcIem4AByLPHUzpLF5WDo63U9AfrrCHQKsW+1qg=</DigestValue>
      </Reference>
      <Reference URI="/xl/worksheets/sheet20.xml?ContentType=application/vnd.openxmlformats-officedocument.spreadsheetml.worksheet+xml">
        <DigestMethod Algorithm="http://www.w3.org/2001/04/xmlenc#sha256"/>
        <DigestValue>8oFPduqcvdBaKrOedK0zAvALf8g7Qk3uTCyo+xI6lnQ=</DigestValue>
      </Reference>
      <Reference URI="/xl/worksheets/sheet21.xml?ContentType=application/vnd.openxmlformats-officedocument.spreadsheetml.worksheet+xml">
        <DigestMethod Algorithm="http://www.w3.org/2001/04/xmlenc#sha256"/>
        <DigestValue>lNPBd55/W6ATcuGTC4T4WRu6aSEeeWsH/adpuBLa3Ek=</DigestValue>
      </Reference>
      <Reference URI="/xl/worksheets/sheet22.xml?ContentType=application/vnd.openxmlformats-officedocument.spreadsheetml.worksheet+xml">
        <DigestMethod Algorithm="http://www.w3.org/2001/04/xmlenc#sha256"/>
        <DigestValue>5s5ePxCjJfXzKswPLKsixhd9ceHbrWWWnReMk1EI6Oc=</DigestValue>
      </Reference>
      <Reference URI="/xl/worksheets/sheet23.xml?ContentType=application/vnd.openxmlformats-officedocument.spreadsheetml.worksheet+xml">
        <DigestMethod Algorithm="http://www.w3.org/2001/04/xmlenc#sha256"/>
        <DigestValue>hFZeTKXlAQJRF2Z43qACim+JZiQWA2UM6WCsWLFHM8s=</DigestValue>
      </Reference>
      <Reference URI="/xl/worksheets/sheet24.xml?ContentType=application/vnd.openxmlformats-officedocument.spreadsheetml.worksheet+xml">
        <DigestMethod Algorithm="http://www.w3.org/2001/04/xmlenc#sha256"/>
        <DigestValue>hqGcaxiaCRqDPEKyZxvEZvu8ha1ZnvDvY29tP2b3MVU=</DigestValue>
      </Reference>
      <Reference URI="/xl/worksheets/sheet25.xml?ContentType=application/vnd.openxmlformats-officedocument.spreadsheetml.worksheet+xml">
        <DigestMethod Algorithm="http://www.w3.org/2001/04/xmlenc#sha256"/>
        <DigestValue>RB3X7OFXR0NB3YMjYN1bZTFB4bYB9Z/KZ/K/Ewm1jjM=</DigestValue>
      </Reference>
      <Reference URI="/xl/worksheets/sheet26.xml?ContentType=application/vnd.openxmlformats-officedocument.spreadsheetml.worksheet+xml">
        <DigestMethod Algorithm="http://www.w3.org/2001/04/xmlenc#sha256"/>
        <DigestValue>W/Z85JhB1SUSD267KkYrtYNcyRk+MHdY8DZRxrwBKLE=</DigestValue>
      </Reference>
      <Reference URI="/xl/worksheets/sheet27.xml?ContentType=application/vnd.openxmlformats-officedocument.spreadsheetml.worksheet+xml">
        <DigestMethod Algorithm="http://www.w3.org/2001/04/xmlenc#sha256"/>
        <DigestValue>QqFlmSMJO0y4Froicd7o3xueWslaVBnCjEbij33I6K8=</DigestValue>
      </Reference>
      <Reference URI="/xl/worksheets/sheet28.xml?ContentType=application/vnd.openxmlformats-officedocument.spreadsheetml.worksheet+xml">
        <DigestMethod Algorithm="http://www.w3.org/2001/04/xmlenc#sha256"/>
        <DigestValue>PbvC6RdU77OlAa2WTKoPIr1NLNHsZ+Oqn8u84Ejga5Y=</DigestValue>
      </Reference>
      <Reference URI="/xl/worksheets/sheet29.xml?ContentType=application/vnd.openxmlformats-officedocument.spreadsheetml.worksheet+xml">
        <DigestMethod Algorithm="http://www.w3.org/2001/04/xmlenc#sha256"/>
        <DigestValue>q+PVDIpj+NdxjS4N1TxUZQ6RrdIh0XAO4Fe/ym567zM=</DigestValue>
      </Reference>
      <Reference URI="/xl/worksheets/sheet3.xml?ContentType=application/vnd.openxmlformats-officedocument.spreadsheetml.worksheet+xml">
        <DigestMethod Algorithm="http://www.w3.org/2001/04/xmlenc#sha256"/>
        <DigestValue>iHq/MG/CGEzpVaIVeXZEy8J+SAGvDToJphDStE14XLU=</DigestValue>
      </Reference>
      <Reference URI="/xl/worksheets/sheet30.xml?ContentType=application/vnd.openxmlformats-officedocument.spreadsheetml.worksheet+xml">
        <DigestMethod Algorithm="http://www.w3.org/2001/04/xmlenc#sha256"/>
        <DigestValue>HHPcjjvcUVf2DV6M8gVkkAsZ+Xk3IvnM7DRGWveAqyQ=</DigestValue>
      </Reference>
      <Reference URI="/xl/worksheets/sheet31.xml?ContentType=application/vnd.openxmlformats-officedocument.spreadsheetml.worksheet+xml">
        <DigestMethod Algorithm="http://www.w3.org/2001/04/xmlenc#sha256"/>
        <DigestValue>MQjHRzFwCtbPyDZol/G2ZlkEAtmXoFumJPOIdI6CXV0=</DigestValue>
      </Reference>
      <Reference URI="/xl/worksheets/sheet32.xml?ContentType=application/vnd.openxmlformats-officedocument.spreadsheetml.worksheet+xml">
        <DigestMethod Algorithm="http://www.w3.org/2001/04/xmlenc#sha256"/>
        <DigestValue>M/OrzBwRJBNKaxAfcf1FNH11rxs0HVNX2Oy1kFZfbcc=</DigestValue>
      </Reference>
      <Reference URI="/xl/worksheets/sheet33.xml?ContentType=application/vnd.openxmlformats-officedocument.spreadsheetml.worksheet+xml">
        <DigestMethod Algorithm="http://www.w3.org/2001/04/xmlenc#sha256"/>
        <DigestValue>Y2WtCxpqXnyTucKmCTPtjAjJj9M9LB9rqj2VP7ax7Zg=</DigestValue>
      </Reference>
      <Reference URI="/xl/worksheets/sheet34.xml?ContentType=application/vnd.openxmlformats-officedocument.spreadsheetml.worksheet+xml">
        <DigestMethod Algorithm="http://www.w3.org/2001/04/xmlenc#sha256"/>
        <DigestValue>5GuMykTLr11gfdu6ki9My7sl8rT4475Ccclvv2MuxA8=</DigestValue>
      </Reference>
      <Reference URI="/xl/worksheets/sheet35.xml?ContentType=application/vnd.openxmlformats-officedocument.spreadsheetml.worksheet+xml">
        <DigestMethod Algorithm="http://www.w3.org/2001/04/xmlenc#sha256"/>
        <DigestValue>jbXGRfH707sLwhZbi+5/HL+rl/IvawJP9uZTMs1yI3E=</DigestValue>
      </Reference>
      <Reference URI="/xl/worksheets/sheet4.xml?ContentType=application/vnd.openxmlformats-officedocument.spreadsheetml.worksheet+xml">
        <DigestMethod Algorithm="http://www.w3.org/2001/04/xmlenc#sha256"/>
        <DigestValue>mv1rJdDGwezq0sHacHlgOUxo5mIGYshkTp50NxXH9yI=</DigestValue>
      </Reference>
      <Reference URI="/xl/worksheets/sheet5.xml?ContentType=application/vnd.openxmlformats-officedocument.spreadsheetml.worksheet+xml">
        <DigestMethod Algorithm="http://www.w3.org/2001/04/xmlenc#sha256"/>
        <DigestValue>+k0QxIZBUb1u24u+ykukQsJSmytjVsAKV5FrzI6ggGg=</DigestValue>
      </Reference>
      <Reference URI="/xl/worksheets/sheet6.xml?ContentType=application/vnd.openxmlformats-officedocument.spreadsheetml.worksheet+xml">
        <DigestMethod Algorithm="http://www.w3.org/2001/04/xmlenc#sha256"/>
        <DigestValue>nyH5a/wcYPtnOcgfDkEr/bcA9Gfj6gemFc4CQVaaJCY=</DigestValue>
      </Reference>
      <Reference URI="/xl/worksheets/sheet7.xml?ContentType=application/vnd.openxmlformats-officedocument.spreadsheetml.worksheet+xml">
        <DigestMethod Algorithm="http://www.w3.org/2001/04/xmlenc#sha256"/>
        <DigestValue>vJNDKiXYMHNNvVy/mGEklGW/YPIbxlEMq3UgiiUWECU=</DigestValue>
      </Reference>
      <Reference URI="/xl/worksheets/sheet8.xml?ContentType=application/vnd.openxmlformats-officedocument.spreadsheetml.worksheet+xml">
        <DigestMethod Algorithm="http://www.w3.org/2001/04/xmlenc#sha256"/>
        <DigestValue>oiFcYkmZkxNQQXX+uBO+W1KZdXn72L9b4r6XOcssUpk=</DigestValue>
      </Reference>
      <Reference URI="/xl/worksheets/sheet9.xml?ContentType=application/vnd.openxmlformats-officedocument.spreadsheetml.worksheet+xml">
        <DigestMethod Algorithm="http://www.w3.org/2001/04/xmlenc#sha256"/>
        <DigestValue>uE4H9+PqD8LrufCUPsz0z7aAEctgGDYb9KAQ8fvdJjo=</DigestValue>
      </Reference>
    </Manifest>
    <SignatureProperties>
      <SignatureProperty Id="idSignatureTime" Target="#idPackageSignature">
        <mdssi:SignatureTime xmlns:mdssi="http://schemas.openxmlformats.org/package/2006/digital-signature">
          <mdssi:Format>YYYY-MM-DDThh:mm:ssTZD</mdssi:Format>
          <mdssi:Value>2023-11-15T10:50:22Z</mdssi:Value>
        </mdssi:SignatureTime>
      </SignatureProperty>
    </SignatureProperties>
  </Object>
  <Object Id="idOfficeObject">
    <SignatureProperties>
      <SignatureProperty Id="idOfficeV1Details" Target="#idPackageSignature">
        <SignatureInfoV1 xmlns="http://schemas.microsoft.com/office/2006/digsig">
          <SetupID>{37D8A9D1-B489-4053-9781-5F091E29E5CE}</SetupID>
          <SignatureText>Leonardo Salomón</SignatureText>
          <SignatureImage/>
          <SignatureComments/>
          <WindowsVersion>10.0</WindowsVersion>
          <OfficeVersion>16.0.16924/26</OfficeVersion>
          <ApplicationVersion>16.0.16924</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2023-11-15T10:50:22Z</xd:SigningTime>
          <xd:SigningCertificate>
            <xd:Cert>
              <xd:CertDigest>
                <DigestMethod Algorithm="http://www.w3.org/2001/04/xmlenc#sha256"/>
                <DigestValue>d8mSeZPj1Q6OvsG+aGU3RhTSpY0Jhnx3G+X77SoV1Vs=</DigestValue>
              </xd:CertDigest>
              <xd:IssuerSerial>
                <X509IssuerName>C=PY, O=DOCUMENTA S.A., CN=CA-DOCUMENTA S.A., SERIALNUMBER=RUC 80050172-1</X509IssuerName>
                <X509SerialNumber>4843007122841509713</X509SerialNumber>
              </xd:IssuerSerial>
            </xd:Cert>
          </xd:SigningCertificate>
          <xd:SignaturePolicyIdentifier>
            <xd:SignaturePolicyImplied/>
          </xd:SignaturePolicyIdentifier>
        </xd:SignedSignatureProperties>
      </xd:SignedProperties>
    </xd:QualifyingProperties>
  </Object>
  <Object Id="idValidSigLnImg">AQAAAGwAAAAAAAAAAAAAAD8BAACfAAAAAAAAAAAAAABmFgAAOwsAACBFTUYAAAEAyBsAAKo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O4AAAAFAAAAMQEAABUAAADuAAAABQAAAEQ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O4AAAAFAAAAMgEAABYAAAAlAAAADAAAAAEAAABUAAAAiAAAAO8AAAAFAAAAMAEAABUAAAABAAAAVVWPQSa0j0HvAAAABQAAAAoAAABMAAAAAAAAAAAAAAAAAAAA//////////9gAAAAMQA1AC8AMQAxAC8AMgAwADIAMwAHAAAABwAAAAUAAAAHAAAABwAAAAUAAAAHAAAABwAAAAcAAAAHAAAASwAAAEAAAAAwAAAABQAAACAAAAABAAAAAQAAABAAAAAAAAAAAAAAAEABAACgAAAAAAAAAAAAAABAAQAAoAAAAFIAAABwAQAAAgAAABQAAAAJ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wAAAAAAAAAPwAAACEA8AAAAAAAAAAAAAAAgD8AAAAAAAAAAAAAgD8AAAAAAAAAAAAAAAAAAAAAAAAAAAAAAAAAAAAAAAAAACUAAAAMAAAAAAAAgCgAAAAMAAAAAwAAACcAAAAYAAAAAwAAAAAAAAAAAAAAAAAAACUAAAAMAAAAAwAAAEwAAABkAAAAAAAAAAAAAAD//////////wAAAAAcAAAAQAEAAAAAAAAhAPAAAAAAAAAAAAAAAIA/AAAAAAAAAAAAAIA/AAAAAAAAAAAAAAAAAAAAAAAAAAAAAAAAAAAAAAAAAAAlAAAADAAAAAAAAIAoAAAADAAAAAMAAAAnAAAAGAAAAAMAAAAAAAAAAAAAAAAAAAAlAAAADAAAAAMAAABMAAAAZAAAAAAAAAAAAAAA//////////9AAQAAHAAAAAAAAAA/AAAAIQDwAAAAAAAAAAAAAACAPwAAAAAAAAAAAACAPwAAAAAAAAAAAAAAAAAAAAAAAAAAAAAAAAAAAAAAAAAAJQAAAAwAAAAAAACAKAAAAAwAAAADAAAAJwAAABgAAAADAAAAAAAAAAAAAAAAAAAAJQAAAAwAAAADAAAATAAAAGQAAAAAAAAAWwAAAD8BAABcAAAAAAAAAFsAAABAAQAAAgAAACEA8AAAAAAAAAAAAAAAgD8AAAAAAAAAAAAAgD8AAAAAAAAAAAAAAAAAAAAAAAAAAAAAAAAAAAAAAAAAACUAAAAMAAAAAAAAgCgAAAAMAAAAAwAAACcAAAAYAAAAAwAAAAAAAAD///8AAAAAACUAAAAMAAAAAwAAAEwAAABkAAAAAAAAABwAAAA/AQAAWgAAAAAAAAAcAAAAQAEAAD8AAAAhAPAAAAAAAAAAAAAAAIA/AAAAAAAAAAAAAIA/AAAAAAAAAAAAAAAAAAAAAAAAAAAAAAAAAAAAAAAAAAAlAAAADAAAAAAAAIAoAAAADAAAAAMAAAAnAAAAGAAAAAMAAAAAAAAA////AAAAAAAlAAAADAAAAAMAAABMAAAAZAAAAAsAAAA3AAAAIQAAAFoAAAALAAAAN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wAAAA3AAAAIAAAAFoAAAABAAAAVVWPQSa0j0EMAAAAWwAAAAEAAABMAAAABAAAAAsAAAA3AAAAIgAAAFsAAABQAAAAWAAAABUAAAAWAAAADAAAAAAAAAAlAAAADAAAAAIAAAAnAAAAGAAAAAQAAAAAAAAA////AAAAAAAlAAAADAAAAAQAAABMAAAAZAAAADAAAAAgAAAANAEAAFoAAAAwAAAAIAAAAAUBAAA7AAAAIQDwAAAAAAAAAAAAAACAPwAAAAAAAAAAAACAPwAAAAAAAAAAAAAAAAAAAAAAAAAAAAAAAAAAAAAAAAAAJQAAAAwAAAAAAACAKAAAAAwAAAAEAAAAJwAAABgAAAAEAAAAAAAAAP///wAAAAAAJQAAAAwAAAAEAAAATAAAAGQAAAAwAAAAIAAAADQBAABWAAAAMAAAACAAAAAFAQAANwAAACEA8AAAAAAAAAAAAAAAgD8AAAAAAAAAAAAAgD8AAAAAAAAAAAAAAAAAAAAAAAAAAAAAAAAAAAAAAAAAACUAAAAMAAAAAAAAgCgAAAAMAAAABAAAACcAAAAYAAAABAAAAAAAAAD///8AAAAAACUAAAAMAAAABAAAAEwAAABkAAAAMAAAADsAAADXAAAAVgAAADAAAAA7AAAAqAAAABwAAAAhAPAAAAAAAAAAAAAAAIA/AAAAAAAAAAAAAIA/AAAAAAAAAAAAAAAAAAAAAAAAAAAAAAAAAAAAAAAAAAAlAAAADAAAAAAAAIAoAAAADAAAAAQAAABSAAAAcAEAAAQAAADs////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MAAAADsAAADYAAAAVwAAACUAAAAMAAAABAAAAFQAAACsAAAAMQAAADsAAADWAAAAVgAAAAEAAABVVY9BJrSPQTEAAAA7AAAAEAAAAEwAAAAAAAAAAAAAAAAAAAD//////////2wAAABMAGUAbwBuAGEAcgBkAG8AIABTAGEAbABvAG0A8wBuAAkAAAAKAAAADAAAAAsAAAAKAAAABwAAAAwAAAAMAAAABQAAAAsAAAAKAAAABQAAAAwAAAARAAAADAAAAAsAAABLAAAAQAAAADAAAAAFAAAAIAAAAAEAAAABAAAAEAAAAAAAAAAAAAAAQAEAAKAAAAAAAAAAAAAAAEABAACgAAAAJQAAAAwAAAACAAAAJwAAABgAAAAFAAAAAAAAAP///wAAAAAAJQAAAAwAAAAFAAAATAAAAGQAAAAAAAAAYQAAAD8BAACbAAAAAAAAAGEAAABAAQAAOwAAACEA8AAAAAAAAAAAAAAAgD8AAAAAAAAAAAAAgD8AAAAAAAAAAAAAAAAAAAAAAAAAAAAAAAAAAAAAAAAAACUAAAAMAAAAAAAAgCgAAAAMAAAABQAAACcAAAAYAAAABQAAAAAAAAD///8AAAAAACUAAAAMAAAABQAAAEwAAABkAAAADgAAAGEAAAAxAQAAcQAAAA4AAABhAAAAJAEAABEAAAAhAPAAAAAAAAAAAAAAAIA/AAAAAAAAAAAAAIA/AAAAAAAAAAAAAAAAAAAAAAAAAAAAAAAAAAAAAAAAAAAlAAAADAAAAAAAAIAoAAAADAAAAAUAAAAlAAAADAAAAAEAAAAYAAAADAAAAAAAAAASAAAADAAAAAEAAAAeAAAAGAAAAA4AAABhAAAAMgEAAHIAAAAlAAAADAAAAAEAAABUAAAArAAAAA8AAABhAAAAfQAAAHEAAAABAAAAVVWPQSa0j0EPAAAAYQAAABAAAABMAAAAAAAAAAAAAAAAAAAA//////////9sAAAATABlAG8AbgBhAHIAZABvACAAUwBhAGwAbwBtAG8AbgAGAAAABwAAAAgAAAAHAAAABwAAAAUAAAAIAAAACAAAAAQAAAAHAAAABwAAAAMAAAAIAAAACwAAAAgAAAAHAAAASwAAAEAAAAAwAAAABQAAACAAAAABAAAAAQAAABAAAAAAAAAAAAAAAEABAACgAAAAAAAAAAAAAABAAQAAoAAAACUAAAAMAAAAAgAAACcAAAAYAAAABQAAAAAAAAD///8AAAAAACUAAAAMAAAABQAAAEwAAABkAAAADgAAAHYAAAAxAQAAhgAAAA4AAAB2AAAAJAEAABEAAAAhAPAAAAAAAAAAAAAAAIA/AAAAAAAAAAAAAIA/AAAAAAAAAAAAAAAAAAAAAAAAAAAAAAAAAAAAAAAAAAAlAAAADAAAAAAAAIAoAAAADAAAAAUAAAAlAAAADAAAAAEAAAAYAAAADAAAAAAAAAASAAAADAAAAAEAAAAeAAAAGAAAAA4AAAB2AAAAMgEAAIcAAAAlAAAADAAAAAEAAABUAAAArAAAAA8AAAB2AAAAcQAAAIYAAAABAAAAVVWPQSa0j0EPAAAAdgAAABAAAABMAAAAAAAAAAAAAAAAAAAA//////////9sAAAARwBlAHIAZQBuAHQAZQAgAEcAZQBuAGUAcgBhAGwAIAAJAAAABwAAAAUAAAAHAAAABwAAAAQAAAAHAAAABAAAAAkAAAAHAAAABwAAAAcAAAAFAAAABwAAAAMAAAAEAAAASwAAAEAAAAAwAAAABQAAACAAAAABAAAAAQAAABAAAAAAAAAAAAAAAEABAACgAAAAAAAAAAAAAABAAQAAoAAAACUAAAAMAAAAAgAAACcAAAAYAAAABQAAAAAAAAD///8AAAAAACUAAAAMAAAABQAAAEwAAABkAAAADgAAAIsAAAArAQAAmwAAAA4AAACLAAAAHgEAABEAAAAhAPAAAAAAAAAAAAAAAIA/AAAAAAAAAAAAAIA/AAAAAAAAAAAAAAAAAAAAAAAAAAAAAAAAAAAAAAAAAAAlAAAADAAAAAAAAIAoAAAADAAAAAUAAAAlAAAADAAAAAEAAAAYAAAADAAAAAAAAAASAAAADAAAAAEAAAAWAAAADAAAAAAAAABUAAAAMAEAAA8AAACLAAAAKgEAAJsAAAABAAAAVVWPQSa0j0EPAAAAiwAAACYAAABMAAAABAAAAA4AAACLAAAALAEAAJwAAACYAAAARgBpAHIAbQBhAGQAbwAgAHAAbwByADoAIABMAEUATwBOAEEAUgBEAE8AIABTAEEATABPAE0ATwBOACAAQwBPAE4ARQBKAEUAUgBPAAYAAAADAAAABQAAAAsAAAAHAAAACAAAAAgAAAAEAAAACAAAAAgAAAAFAAAAAwAAAAQAAAAGAAAABwAAAAoAAAAKAAAACAAAAAgAAAAJAAAACgAAAAQAAAAHAAAACAAAAAYAAAAKAAAADAAAAAoAAAAKAAAABAAAAAgAAAAKAAAACgAAAAcAAAAFAAAABwAAAAgAAAAKAAAAFgAAAAwAAAAAAAAAJQAAAAwAAAACAAAADgAAABQAAAAAAAAAEAAAABQAAAA=</Object>
  <Object Id="idInvalidSigLnImg">AQAAAGwAAAAAAAAAAAAAAD8BAACfAAAAAAAAAAAAAABmFgAAOwsAACBFTUYAAAEARCIAALE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8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1wAAAFYAAAAwAAAAOwAAAKg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2AAAAFcAAAAlAAAADAAAAAQAAABUAAAArAAAADEAAAA7AAAA1gAAAFYAAAABAAAAVVWPQSa0j0ExAAAAOwAAABAAAABMAAAAAAAAAAAAAAAAAAAA//////////9sAAAATABlAG8AbgBhAHIAZABvACAAUwBhAGwAbwBtAPMAbgAJAAAACgAAAAwAAAALAAAACgAAAAcAAAAMAAAADAAAAAUAAAALAAAACgAAAAUAAAAMAAAAEQAAAAwAAAAL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QAAAAwAAAABAAAAGAAAAAwAAAAAAAAAEgAAAAwAAAABAAAAHgAAABgAAAAOAAAAYQAAADIBAAByAAAAJQAAAAwAAAABAAAAVAAAAKwAAAAPAAAAYQAAAH0AAABxAAAAAQAAAFVVj0EmtI9BDwAAAGEAAAAQAAAATAAAAAAAAAAAAAAAAAAAAP//////////bAAAAEwAZQBvAG4AYQByAGQAbwAgAFMAYQBsAG8AbQBvAG4ABgAAAAcAAAAIAAAABwAAAAcAAAAFAAAACAAAAAgAAAAEAAAABwAAAAcAAAADAAAACAAAAAsAAAAIAAAABwAAAEsAAABAAAAAMAAAAAUAAAAgAAAAAQAAAAEAAAAQAAAAAAAAAAAAAABAAQAAoAAAAAAAAAAAAAAAQAEAAKAAAAAlAAAADAAAAAIAAAAnAAAAGAAAAAUAAAAAAAAA////AAAAAAAlAAAADAAAAAUAAABMAAAAZAAAAA4AAAB2AAAAMQEAAIYAAAAOAAAAdgAAACQBAAARAAAAIQDwAAAAAAAAAAAAAACAPwAAAAAAAAAAAACAPwAAAAAAAAAAAAAAAAAAAAAAAAAAAAAAAAAAAAAAAAAAJQAAAAwAAAAAAACAKAAAAAwAAAAFAAAAJQAAAAwAAAABAAAAGAAAAAwAAAAAAAAAEgAAAAwAAAABAAAAHgAAABgAAAAOAAAAdgAAADIBAACHAAAAJQAAAAwAAAABAAAAVAAAAKwAAAAPAAAAdgAAAHEAAACGAAAAAQAAAFVVj0EmtI9BDwAAAHYAAAAQAAAATAAAAAAAAAAAAAAAAAAAAP//////////bAAAAEcAZQByAGUAbgB0AGUAIABHAGUAbgBlAHIAYQBsACAACQAAAAcAAAAFAAAABwAAAAcAAAAEAAAABwAAAAQAAAAJAAAABwAAAAcAAAAHAAAABQAAAAcAAAADAAAABAAAAEsAAABAAAAAMAAAAAUAAAAgAAAAAQAAAAEAAAAQAAAAAAAAAAAAAABAAQAAoAAAAAAAAAAAAAAAQAEAAKAAAAAlAAAADAAAAAIAAAAnAAAAGAAAAAUAAAAAAAAA////AAAAAAAlAAAADAAAAAUAAABMAAAAZAAAAA4AAACLAAAAKwEAAJsAAAAOAAAAiwAAAB4BAAARAAAAIQDwAAAAAAAAAAAAAACAPwAAAAAAAAAAAACAPwAAAAAAAAAAAAAAAAAAAAAAAAAAAAAAAAAAAAAAAAAAJQAAAAwAAAAAAACAKAAAAAwAAAAFAAAAJQAAAAwAAAABAAAAGAAAAAwAAAAAAAAAEgAAAAwAAAABAAAAFgAAAAwAAAAAAAAAVAAAADABAAAPAAAAiwAAACoBAACbAAAAAQAAAFVVj0EmtI9BDwAAAIsAAAAmAAAATAAAAAQAAAAOAAAAiwAAACwBAACcAAAAmAAAAEYAaQByAG0AYQBkAG8AIABwAG8AcgA6ACAATABFAE8ATgBBAFIARABPACAAUwBBAEwATwBNAE8ATgAgAEMATwBOAEUASgBFAFIATwAGAAAAAwAAAAUAAAALAAAABwAAAAgAAAAIAAAABAAAAAgAAAAIAAAABQAAAAMAAAAEAAAABgAAAAcAAAAKAAAACgAAAAgAAAAIAAAACQAAAAoAAAAEAAAABwAAAAgAAAAGAAAACgAAAAwAAAAKAAAACgAAAAQAAAAIAAAACgAAAAoAAAAHAAAABQAAAAcAAAAIAAAACgAAABYAAAAMAAAAAAAAACUAAAAMAAAAAgAAAA4AAAAUAAAAAAAAABAAAAAUAAAA</Object>
</Signature>
</file>

<file path=_xmlsignatures/sig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9TUs86+V3uHg3WZ4r+7JomVjE2uqbavriKXqyz+yyag=</DigestValue>
    </Reference>
    <Reference Type="http://www.w3.org/2000/09/xmldsig#Object" URI="#idOfficeObject">
      <DigestMethod Algorithm="http://www.w3.org/2001/04/xmlenc#sha256"/>
      <DigestValue>kTptj8LzLt8yqlcvNPcNwWo/VfUdOdB1vGAh3GlFTQI=</DigestValue>
    </Reference>
    <Reference Type="http://uri.etsi.org/01903#SignedProperties" URI="#idSignedProperties">
      <Transforms>
        <Transform Algorithm="http://www.w3.org/TR/2001/REC-xml-c14n-20010315"/>
      </Transforms>
      <DigestMethod Algorithm="http://www.w3.org/2001/04/xmlenc#sha256"/>
      <DigestValue>ekhSVoWj2AZ2UX/3zXhzIF4xhhcBpDMs3C5OIMB6uic=</DigestValue>
    </Reference>
    <Reference Type="http://www.w3.org/2000/09/xmldsig#Object" URI="#idValidSigLnImg">
      <DigestMethod Algorithm="http://www.w3.org/2001/04/xmlenc#sha256"/>
      <DigestValue>npwEtmKgRJbEeAggnBhfMdG8dRsicDova3+Nwfa6EB8=</DigestValue>
    </Reference>
    <Reference Type="http://www.w3.org/2000/09/xmldsig#Object" URI="#idInvalidSigLnImg">
      <DigestMethod Algorithm="http://www.w3.org/2001/04/xmlenc#sha256"/>
      <DigestValue>DeREAu1x8QHAyv4SNFGu6FGDo+bxWZlCiR8C1BfVYQE=</DigestValue>
    </Reference>
  </SignedInfo>
  <SignatureValue>TSWNvmyuQ1OD1NnB5X6svUBazQ9J0A1YEztFEtVxTnpjBym3ZY3BvUjbeNZyYWvaEwhem09keOI1
Qoz+zivDSgxRxmcA7RjFmOg44/Y0/jdTSrZobPbbTqncnOCnCkhtMLr9n9ThQTX0iWmCM2tM9DwI
KtA0nLB95YHQihaQsFgw7oKi85BuToCx3Hs9qxMqNe/eHRTbGn45ErQVohwnwTFim9PPbbrw+lfX
e8/LlOD3Ab+qlsIAgSsKbyl1i85gHr4QqdEgBv8SFBtxzUzYV7xciIeN0Y4TJ4jK3+/k9aYvNkMP
B5SBbVwTMEg6sY6S5003A4e58/cLBqJ4bu811w==</SignatureValue>
  <KeyInfo>
    <X509Data>
      <X509Certificate>MIIIfTCCBmWgAwIBAgIIBRjZYnun4T4wDQYJKoZIhvcNAQELBQAwWjEaMBgGA1UEAwwRQ0EtRE9DVU1FTlRBIFMuQS4xFjAUBgNVBAUTDVJVQzgwMDUwMTcyLTExFzAVBgNVBAoMDkRPQ1VNRU5UQSBTLkEuMQswCQYDVQQGEwJQWTAeFw0yMzEwMzAxOTU4MDBaFw0yNTEwMjkxOTU4MDBaMIG1MSEwHwYDVQQDDBhFTUlMQ0UgR0FSQ0lBIFZBTEVOWlVFTEExEjAQBgNVBAUTCUNJMzczOTE1OTEPMA0GA1UEKgwGRU1JTENFMRowGAYDVQQEDBFHQVJDSUEgVkFMRU5aVUVMQTELMAkGA1UECwwCRjIxNTAzBgNVBAoMLENFUlRJRklDQURPIENVQUxJRklDQURPIERFIEZJUk1BIEVMRUNUUk9OSUNBMQswCQYDVQQGEwJQWTCCASIwDQYJKoZIhvcNAQEBBQADggEPADCCAQoCggEBAKuowgh8avFa2VFy3b9txWM9Vf81BChxoCE8grwwXNfJUyTxQ7Nm6tw2PQZMEyzjHPhL6E+6agPBcdL39j24rKvupBpaRPXeNJYOa/FJ+xTPtEFukj4/ETFSSNfuxk7KZ3HShoQLDM2cqkK5IyxbfkxGfl9nNOVfUKTq3gsmBkeUo/KbPyEBlqTNwf3Yjo+Cukmf3bVHCf/5weBnUWEbLStUQc/gBUBqr3xFFoszl5fGU2qZ5N7v40293Bg07q8UiRZ/zDndmR1H9pQ96NLbeNSQsDSjwYy5ddMRd2JXIk6Ctx/XvAx1NXgBgiEPwqhAqVO/EVvdnV9nC2JYkBtCUWsCAwEAAaOCA+kwggPlMAwGA1UdEwEB/wQCMAAwHwYDVR0jBBgwFoAUoT2FK83YLJYfOQIMn1M7WNiVC3swgZQGCCsGAQUFBwEBBIGHMIGEMFUGCCsGAQUFBzAChklodHRwczovL3d3dy5kaWdpdG8uY29tLnB5L3VwbG9hZHMvY2VydGlmaWNhZG8tZG9jdW1lbnRhLXNhLTE1MzUxMTc3NzEuY3J0MCsGCCsGAQUFBzABhh9odHRwczovL3d3dy5kaWdpdG8uY29tLnB5L29jc3AvMEwGA1UdEQRFMEOBFWdhcmNpYXYuZW1pQGdtYWlsLmNvb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I47tNaGwpy2c8nDOStbJnjxC9wpMA4GA1UdDwEB/wQEAwIF4DANBgkqhkiG9w0BAQsFAAOCAgEAKsEIJtEw1WUlBcRhrjQAMikUsbn2Po3O6OvVXSCXg0Qf41OimT0bhDbCPPsfNrFKzWDezyj+5lh81Q14wKCqDtpyl3eJ+RVF/m2e6ybQeyjwzPiTf3Jf81NWHz3U4pzBKdO4d0DeEEKo9pntz0yftdx+F9x2slL2EdqX0uTVhPe23n8a9yInaGfr8+Ot8IyXptF2JHvOk3fi4i6XyDU9iPVSHOq3BYDXO1pc2+WPNnx2Ut/Vdvx8zQ+J1yghdzI3KaUFCFaGurQAqQTauLaUYzybze//WU5e/jDXpZ1YBeE3440RMKMwiHRUXroXqQ6VvQrSxC77ffD62vM4i6s6mwRPhhbhjUsCASLGRRsObu7BVC4tJTeMREzeUytf78B7bcpsFejKPwfTRTV10RCwYQM+nN8JHqyLU5putOz+Jh7kpO+HZMUr7dkqxkAHc9Jnpz3YqySzog0Cxq6K+CNS5E9Br0D4PuQ0BNW6wpivOrgMJcQ3eBuYHZrtJUM1HeCvgDt0s5sPSl7e171IeCTO4YK6WYoFmzNjIxCUQWlLXG0eIbv4BsrTqW6UunQnWWT/gRFwlsgs0newmY+9wNPBAQEIuAhqnSgfMglk5gjFhpsyo1f5uXJWle8JvDAbHWSb75/iNl3SqNQZbjV71rEd0+w66giFHYYK3kgLVsh+A2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8"/>
            <mdssi:RelationshipReference xmlns:mdssi="http://schemas.openxmlformats.org/package/2006/digital-signature" SourceId="rId26"/>
            <mdssi:RelationshipReference xmlns:mdssi="http://schemas.openxmlformats.org/package/2006/digital-signature" SourceId="rId39"/>
            <mdssi:RelationshipReference xmlns:mdssi="http://schemas.openxmlformats.org/package/2006/digital-signature" SourceId="rId21"/>
            <mdssi:RelationshipReference xmlns:mdssi="http://schemas.openxmlformats.org/package/2006/digital-signature" SourceId="rId34"/>
            <mdssi:RelationshipReference xmlns:mdssi="http://schemas.openxmlformats.org/package/2006/digital-signature" SourceId="rId42"/>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9"/>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24"/>
            <mdssi:RelationshipReference xmlns:mdssi="http://schemas.openxmlformats.org/package/2006/digital-signature" SourceId="rId32"/>
            <mdssi:RelationshipReference xmlns:mdssi="http://schemas.openxmlformats.org/package/2006/digital-signature" SourceId="rId37"/>
            <mdssi:RelationshipReference xmlns:mdssi="http://schemas.openxmlformats.org/package/2006/digital-signature" SourceId="rId40"/>
            <mdssi:RelationshipReference xmlns:mdssi="http://schemas.openxmlformats.org/package/2006/digital-signature" SourceId="rId45"/>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23"/>
            <mdssi:RelationshipReference xmlns:mdssi="http://schemas.openxmlformats.org/package/2006/digital-signature" SourceId="rId28"/>
            <mdssi:RelationshipReference xmlns:mdssi="http://schemas.openxmlformats.org/package/2006/digital-signature" SourceId="rId36"/>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31"/>
            <mdssi:RelationshipReference xmlns:mdssi="http://schemas.openxmlformats.org/package/2006/digital-signature" SourceId="rId44"/>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27"/>
            <mdssi:RelationshipReference xmlns:mdssi="http://schemas.openxmlformats.org/package/2006/digital-signature" SourceId="rId30"/>
            <mdssi:RelationshipReference xmlns:mdssi="http://schemas.openxmlformats.org/package/2006/digital-signature" SourceId="rId35"/>
            <mdssi:RelationshipReference xmlns:mdssi="http://schemas.openxmlformats.org/package/2006/digital-signature" SourceId="rId43"/>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5"/>
            <mdssi:RelationshipReference xmlns:mdssi="http://schemas.openxmlformats.org/package/2006/digital-signature" SourceId="rId33"/>
            <mdssi:RelationshipReference xmlns:mdssi="http://schemas.openxmlformats.org/package/2006/digital-signature" SourceId="rId38"/>
            <mdssi:RelationshipReference xmlns:mdssi="http://schemas.openxmlformats.org/package/2006/digital-signature" SourceId="rId20"/>
            <mdssi:RelationshipReference xmlns:mdssi="http://schemas.openxmlformats.org/package/2006/digital-signature" SourceId="rId41"/>
            <mdssi:RelationshipReference xmlns:mdssi="http://schemas.openxmlformats.org/package/2006/digital-signature" SourceId="rId13"/>
          </Transform>
          <Transform Algorithm="http://www.w3.org/TR/2001/REC-xml-c14n-20010315"/>
        </Transforms>
        <DigestMethod Algorithm="http://www.w3.org/2001/04/xmlenc#sha256"/>
        <DigestValue>9XkSf1SRfUnhOgYq+blJzI9NcTaJAUwdbv+wnSwuuJM=</DigestValue>
      </Reference>
      <Reference URI="/xl/calcChain.xml?ContentType=application/vnd.openxmlformats-officedocument.spreadsheetml.calcChain+xml">
        <DigestMethod Algorithm="http://www.w3.org/2001/04/xmlenc#sha256"/>
        <DigestValue>iNxu4ZtzLu9V/lyOn+mWC2koclFrACJ11WATlrBkiZk=</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S9Sj+Tzwipf0w/2Q1Awt/nmWcha+RGDwfrceJMwrk+Q=</DigestValue>
      </Reference>
      <Reference URI="/xl/drawings/drawing1.xml?ContentType=application/vnd.openxmlformats-officedocument.drawing+xml">
        <DigestMethod Algorithm="http://www.w3.org/2001/04/xmlenc#sha256"/>
        <DigestValue>pJLN690YVOimXA7eZMy2zxm9bdfKi+3NIoRlBA5Mg/g=</DigestValue>
      </Reference>
      <Reference URI="/xl/drawings/drawing2.xml?ContentType=application/vnd.openxmlformats-officedocument.drawing+xml">
        <DigestMethod Algorithm="http://www.w3.org/2001/04/xmlenc#sha256"/>
        <DigestValue>97O14Z95jwA9CP29aDX4wVCdguzDaxgHUCf7/g+re/o=</DigestValue>
      </Reference>
      <Reference URI="/xl/drawings/vmlDrawing1.vml?ContentType=application/vnd.openxmlformats-officedocument.vmlDrawing">
        <DigestMethod Algorithm="http://www.w3.org/2001/04/xmlenc#sha256"/>
        <DigestValue>/dHVt5AeaeOd4mV0Nr4ITCe2O6pl5Yj60KYwunnYNrc=</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lP7l/uMViRZHGQAgCqb48BymP/Fi5zMowkHh60woCDk=</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RipJisxMmjP8W7/L6bNMaGEt5Mz+hA597YkfxyfjDNQ=</DigestValue>
      </Reference>
      <Reference URI="/xl/externalLinks/_rels/externalLink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PF0VUb4SlP5N0k6Op1SJE0obiXQCXM2Qz1zzR3u28d0=</DigestValue>
      </Reference>
      <Reference URI="/xl/externalLinks/_rels/externalLink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/CtgroxjrXaRyFhUc13rIn0nPzmTRelvIfpiNjavUV0=</DigestValue>
      </Reference>
      <Reference URI="/xl/externalLinks/_rels/externalLink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vJJaKNLV1qf+78hBiLYDnpqTfOkpSvtMjd3ibgUfWcI=</DigestValue>
      </Reference>
      <Reference URI="/xl/externalLinks/_rels/externalLink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9xtWwwD0ZfabGxRgRwc/TLkLB5ghIz43nBXh0Jf2HOU=</DigestValue>
      </Reference>
      <Reference URI="/xl/externalLinks/externalLink1.xml?ContentType=application/vnd.openxmlformats-officedocument.spreadsheetml.externalLink+xml">
        <DigestMethod Algorithm="http://www.w3.org/2001/04/xmlenc#sha256"/>
        <DigestValue>4olJuQ8J07nQkAUJhGlLwjr0ptS7PKHqFBLsHa/IdiQ=</DigestValue>
      </Reference>
      <Reference URI="/xl/externalLinks/externalLink2.xml?ContentType=application/vnd.openxmlformats-officedocument.spreadsheetml.externalLink+xml">
        <DigestMethod Algorithm="http://www.w3.org/2001/04/xmlenc#sha256"/>
        <DigestValue>0QkKVdAOhNc5GvzpSzrnsyqcNs3nBqKu7BLWxQ0IMq8=</DigestValue>
      </Reference>
      <Reference URI="/xl/externalLinks/externalLink3.xml?ContentType=application/vnd.openxmlformats-officedocument.spreadsheetml.externalLink+xml">
        <DigestMethod Algorithm="http://www.w3.org/2001/04/xmlenc#sha256"/>
        <DigestValue>LXq6spv7nGiD6puep905NQt73kFR/UpIN1gXecgdHf4=</DigestValue>
      </Reference>
      <Reference URI="/xl/externalLinks/externalLink4.xml?ContentType=application/vnd.openxmlformats-officedocument.spreadsheetml.externalLink+xml">
        <DigestMethod Algorithm="http://www.w3.org/2001/04/xmlenc#sha256"/>
        <DigestValue>9346OS+64VzxFYmVBX8Ijiy+vJK6OEQnF45GxL+u5rg=</DigestValue>
      </Reference>
      <Reference URI="/xl/externalLinks/externalLink5.xml?ContentType=application/vnd.openxmlformats-officedocument.spreadsheetml.externalLink+xml">
        <DigestMethod Algorithm="http://www.w3.org/2001/04/xmlenc#sha256"/>
        <DigestValue>Azwjq8A2zMnzVVOqHHneSF3KgzTlHY2nNxn97Bi5kDY=</DigestValue>
      </Reference>
      <Reference URI="/xl/externalLinks/externalLink6.xml?ContentType=application/vnd.openxmlformats-officedocument.spreadsheetml.externalLink+xml">
        <DigestMethod Algorithm="http://www.w3.org/2001/04/xmlenc#sha256"/>
        <DigestValue>2YlvzbIma7udNMAHn8xBeLgCAFwXTqGWt1sENikwgNc=</DigestValue>
      </Reference>
      <Reference URI="/xl/media/image1.png?ContentType=image/png">
        <DigestMethod Algorithm="http://www.w3.org/2001/04/xmlenc#sha256"/>
        <DigestValue>uI0brDbYV6YlPt4INZ8nNezc0jukNpBRcN7vLW78z/8=</DigestValue>
      </Reference>
      <Reference URI="/xl/media/image2.emf?ContentType=image/x-emf">
        <DigestMethod Algorithm="http://www.w3.org/2001/04/xmlenc#sha256"/>
        <DigestValue>znDJXHvIApuOXF77rsH3vaC7Zl81DZ24K8QzGhPfyaw=</DigestValue>
      </Reference>
      <Reference URI="/xl/media/image3.emf?ContentType=image/x-emf">
        <DigestMethod Algorithm="http://www.w3.org/2001/04/xmlenc#sha256"/>
        <DigestValue>TT6hK+D1lDsRjm3cfSG0wYOW596BUBnP4bd5+vv2tUc=</DigestValue>
      </Reference>
      <Reference URI="/xl/sharedStrings.xml?ContentType=application/vnd.openxmlformats-officedocument.spreadsheetml.sharedStrings+xml">
        <DigestMethod Algorithm="http://www.w3.org/2001/04/xmlenc#sha256"/>
        <DigestValue>5MzajmPx7IESjyntly37YqPC6RUISFrct9/HPbIydJ0=</DigestValue>
      </Reference>
      <Reference URI="/xl/styles.xml?ContentType=application/vnd.openxmlformats-officedocument.spreadsheetml.styles+xml">
        <DigestMethod Algorithm="http://www.w3.org/2001/04/xmlenc#sha256"/>
        <DigestValue>wtuG3m+1MshY9YkAIVirodO6lkTOhZFZafBETi2u0B8=</DigestValue>
      </Reference>
      <Reference URI="/xl/theme/theme1.xml?ContentType=application/vnd.openxmlformats-officedocument.theme+xml">
        <DigestMethod Algorithm="http://www.w3.org/2001/04/xmlenc#sha256"/>
        <DigestValue>0od3cWFb7H/9sr1fB3xS8N4PVwSWcnr1ynQI1Jvf//w=</DigestValue>
      </Reference>
      <Reference URI="/xl/workbook.xml?ContentType=application/vnd.openxmlformats-officedocument.spreadsheetml.sheet.main+xml">
        <DigestMethod Algorithm="http://www.w3.org/2001/04/xmlenc#sha256"/>
        <DigestValue>+5ZJZudJ4gCz6t1cilh/cRi3Nznr0eYznCOgvCBY0Es=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ZOZ+2y8KlgARq7v4vsPrD4nIDV4Rqtubx7lLXn+BYVI=</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lHnnYDirKb6jIxGHnqbP97pjMgmbUlToG4p69Ye0Gm8=</DigestValue>
      </Reference>
      <Reference URI="/xl/worksheets/sheet1.xml?ContentType=application/vnd.openxmlformats-officedocument.spreadsheetml.worksheet+xml">
        <DigestMethod Algorithm="http://www.w3.org/2001/04/xmlenc#sha256"/>
        <DigestValue>vqxHwqsgQOhEbEDujP+gnVV41iOqIwN3E+KdUVXd120=</DigestValue>
      </Reference>
      <Reference URI="/xl/worksheets/sheet10.xml?ContentType=application/vnd.openxmlformats-officedocument.spreadsheetml.worksheet+xml">
        <DigestMethod Algorithm="http://www.w3.org/2001/04/xmlenc#sha256"/>
        <DigestValue>Mw22N3IgR0xEfUj6lwhYHPrsMCkPJi9UDrNQIEfUxy8=</DigestValue>
      </Reference>
      <Reference URI="/xl/worksheets/sheet11.xml?ContentType=application/vnd.openxmlformats-officedocument.spreadsheetml.worksheet+xml">
        <DigestMethod Algorithm="http://www.w3.org/2001/04/xmlenc#sha256"/>
        <DigestValue>bpbGacOPGC+p+sUCCmPDCfnX03bY3soCuklTXWK3P08=</DigestValue>
      </Reference>
      <Reference URI="/xl/worksheets/sheet12.xml?ContentType=application/vnd.openxmlformats-officedocument.spreadsheetml.worksheet+xml">
        <DigestMethod Algorithm="http://www.w3.org/2001/04/xmlenc#sha256"/>
        <DigestValue>3fjHlMBFdgqhMxQX7V43yut68Bt4bcYyTm83BsEuBzg=</DigestValue>
      </Reference>
      <Reference URI="/xl/worksheets/sheet13.xml?ContentType=application/vnd.openxmlformats-officedocument.spreadsheetml.worksheet+xml">
        <DigestMethod Algorithm="http://www.w3.org/2001/04/xmlenc#sha256"/>
        <DigestValue>EgE2wvBdH/87fJ4AR9UaFRLpTNSv5GnUfgvY4y/rTvw=</DigestValue>
      </Reference>
      <Reference URI="/xl/worksheets/sheet14.xml?ContentType=application/vnd.openxmlformats-officedocument.spreadsheetml.worksheet+xml">
        <DigestMethod Algorithm="http://www.w3.org/2001/04/xmlenc#sha256"/>
        <DigestValue>uLt46h75QdTEjPb9yxeMbm2sdH9Xy0b624Lf05FIUr0=</DigestValue>
      </Reference>
      <Reference URI="/xl/worksheets/sheet15.xml?ContentType=application/vnd.openxmlformats-officedocument.spreadsheetml.worksheet+xml">
        <DigestMethod Algorithm="http://www.w3.org/2001/04/xmlenc#sha256"/>
        <DigestValue>BqI0Csd4XJrmNaz47hMzvTysLMWrK4CL2JxcWf49oqM=</DigestValue>
      </Reference>
      <Reference URI="/xl/worksheets/sheet16.xml?ContentType=application/vnd.openxmlformats-officedocument.spreadsheetml.worksheet+xml">
        <DigestMethod Algorithm="http://www.w3.org/2001/04/xmlenc#sha256"/>
        <DigestValue>UrkFxHdceMcJ4IU6GnYwDmMajWP+S/sd98l4S6E8h3Y=</DigestValue>
      </Reference>
      <Reference URI="/xl/worksheets/sheet17.xml?ContentType=application/vnd.openxmlformats-officedocument.spreadsheetml.worksheet+xml">
        <DigestMethod Algorithm="http://www.w3.org/2001/04/xmlenc#sha256"/>
        <DigestValue>mR368rldl4gfvxigLP88qpU62gdZbMLUJxdTVRkss70=</DigestValue>
      </Reference>
      <Reference URI="/xl/worksheets/sheet18.xml?ContentType=application/vnd.openxmlformats-officedocument.spreadsheetml.worksheet+xml">
        <DigestMethod Algorithm="http://www.w3.org/2001/04/xmlenc#sha256"/>
        <DigestValue>/X3L2OEamVBdUBSciC/PKCt3VJMPdkCSdA1f+xpny9c=</DigestValue>
      </Reference>
      <Reference URI="/xl/worksheets/sheet19.xml?ContentType=application/vnd.openxmlformats-officedocument.spreadsheetml.worksheet+xml">
        <DigestMethod Algorithm="http://www.w3.org/2001/04/xmlenc#sha256"/>
        <DigestValue>PwcTIBJGzGUQTDnmg7xLavtfFZcxb8Dsiaz/FBR8DX0=</DigestValue>
      </Reference>
      <Reference URI="/xl/worksheets/sheet2.xml?ContentType=application/vnd.openxmlformats-officedocument.spreadsheetml.worksheet+xml">
        <DigestMethod Algorithm="http://www.w3.org/2001/04/xmlenc#sha256"/>
        <DigestValue>k9MdtcIem4AByLPHUzpLF5WDo63U9AfrrCHQKsW+1qg=</DigestValue>
      </Reference>
      <Reference URI="/xl/worksheets/sheet20.xml?ContentType=application/vnd.openxmlformats-officedocument.spreadsheetml.worksheet+xml">
        <DigestMethod Algorithm="http://www.w3.org/2001/04/xmlenc#sha256"/>
        <DigestValue>8oFPduqcvdBaKrOedK0zAvALf8g7Qk3uTCyo+xI6lnQ=</DigestValue>
      </Reference>
      <Reference URI="/xl/worksheets/sheet21.xml?ContentType=application/vnd.openxmlformats-officedocument.spreadsheetml.worksheet+xml">
        <DigestMethod Algorithm="http://www.w3.org/2001/04/xmlenc#sha256"/>
        <DigestValue>lNPBd55/W6ATcuGTC4T4WRu6aSEeeWsH/adpuBLa3Ek=</DigestValue>
      </Reference>
      <Reference URI="/xl/worksheets/sheet22.xml?ContentType=application/vnd.openxmlformats-officedocument.spreadsheetml.worksheet+xml">
        <DigestMethod Algorithm="http://www.w3.org/2001/04/xmlenc#sha256"/>
        <DigestValue>5s5ePxCjJfXzKswPLKsixhd9ceHbrWWWnReMk1EI6Oc=</DigestValue>
      </Reference>
      <Reference URI="/xl/worksheets/sheet23.xml?ContentType=application/vnd.openxmlformats-officedocument.spreadsheetml.worksheet+xml">
        <DigestMethod Algorithm="http://www.w3.org/2001/04/xmlenc#sha256"/>
        <DigestValue>hFZeTKXlAQJRF2Z43qACim+JZiQWA2UM6WCsWLFHM8s=</DigestValue>
      </Reference>
      <Reference URI="/xl/worksheets/sheet24.xml?ContentType=application/vnd.openxmlformats-officedocument.spreadsheetml.worksheet+xml">
        <DigestMethod Algorithm="http://www.w3.org/2001/04/xmlenc#sha256"/>
        <DigestValue>hqGcaxiaCRqDPEKyZxvEZvu8ha1ZnvDvY29tP2b3MVU=</DigestValue>
      </Reference>
      <Reference URI="/xl/worksheets/sheet25.xml?ContentType=application/vnd.openxmlformats-officedocument.spreadsheetml.worksheet+xml">
        <DigestMethod Algorithm="http://www.w3.org/2001/04/xmlenc#sha256"/>
        <DigestValue>RB3X7OFXR0NB3YMjYN1bZTFB4bYB9Z/KZ/K/Ewm1jjM=</DigestValue>
      </Reference>
      <Reference URI="/xl/worksheets/sheet26.xml?ContentType=application/vnd.openxmlformats-officedocument.spreadsheetml.worksheet+xml">
        <DigestMethod Algorithm="http://www.w3.org/2001/04/xmlenc#sha256"/>
        <DigestValue>W/Z85JhB1SUSD267KkYrtYNcyRk+MHdY8DZRxrwBKLE=</DigestValue>
      </Reference>
      <Reference URI="/xl/worksheets/sheet27.xml?ContentType=application/vnd.openxmlformats-officedocument.spreadsheetml.worksheet+xml">
        <DigestMethod Algorithm="http://www.w3.org/2001/04/xmlenc#sha256"/>
        <DigestValue>QqFlmSMJO0y4Froicd7o3xueWslaVBnCjEbij33I6K8=</DigestValue>
      </Reference>
      <Reference URI="/xl/worksheets/sheet28.xml?ContentType=application/vnd.openxmlformats-officedocument.spreadsheetml.worksheet+xml">
        <DigestMethod Algorithm="http://www.w3.org/2001/04/xmlenc#sha256"/>
        <DigestValue>PbvC6RdU77OlAa2WTKoPIr1NLNHsZ+Oqn8u84Ejga5Y=</DigestValue>
      </Reference>
      <Reference URI="/xl/worksheets/sheet29.xml?ContentType=application/vnd.openxmlformats-officedocument.spreadsheetml.worksheet+xml">
        <DigestMethod Algorithm="http://www.w3.org/2001/04/xmlenc#sha256"/>
        <DigestValue>q+PVDIpj+NdxjS4N1TxUZQ6RrdIh0XAO4Fe/ym567zM=</DigestValue>
      </Reference>
      <Reference URI="/xl/worksheets/sheet3.xml?ContentType=application/vnd.openxmlformats-officedocument.spreadsheetml.worksheet+xml">
        <DigestMethod Algorithm="http://www.w3.org/2001/04/xmlenc#sha256"/>
        <DigestValue>iHq/MG/CGEzpVaIVeXZEy8J+SAGvDToJphDStE14XLU=</DigestValue>
      </Reference>
      <Reference URI="/xl/worksheets/sheet30.xml?ContentType=application/vnd.openxmlformats-officedocument.spreadsheetml.worksheet+xml">
        <DigestMethod Algorithm="http://www.w3.org/2001/04/xmlenc#sha256"/>
        <DigestValue>HHPcjjvcUVf2DV6M8gVkkAsZ+Xk3IvnM7DRGWveAqyQ=</DigestValue>
      </Reference>
      <Reference URI="/xl/worksheets/sheet31.xml?ContentType=application/vnd.openxmlformats-officedocument.spreadsheetml.worksheet+xml">
        <DigestMethod Algorithm="http://www.w3.org/2001/04/xmlenc#sha256"/>
        <DigestValue>MQjHRzFwCtbPyDZol/G2ZlkEAtmXoFumJPOIdI6CXV0=</DigestValue>
      </Reference>
      <Reference URI="/xl/worksheets/sheet32.xml?ContentType=application/vnd.openxmlformats-officedocument.spreadsheetml.worksheet+xml">
        <DigestMethod Algorithm="http://www.w3.org/2001/04/xmlenc#sha256"/>
        <DigestValue>M/OrzBwRJBNKaxAfcf1FNH11rxs0HVNX2Oy1kFZfbcc=</DigestValue>
      </Reference>
      <Reference URI="/xl/worksheets/sheet33.xml?ContentType=application/vnd.openxmlformats-officedocument.spreadsheetml.worksheet+xml">
        <DigestMethod Algorithm="http://www.w3.org/2001/04/xmlenc#sha256"/>
        <DigestValue>Y2WtCxpqXnyTucKmCTPtjAjJj9M9LB9rqj2VP7ax7Zg=</DigestValue>
      </Reference>
      <Reference URI="/xl/worksheets/sheet34.xml?ContentType=application/vnd.openxmlformats-officedocument.spreadsheetml.worksheet+xml">
        <DigestMethod Algorithm="http://www.w3.org/2001/04/xmlenc#sha256"/>
        <DigestValue>5GuMykTLr11gfdu6ki9My7sl8rT4475Ccclvv2MuxA8=</DigestValue>
      </Reference>
      <Reference URI="/xl/worksheets/sheet35.xml?ContentType=application/vnd.openxmlformats-officedocument.spreadsheetml.worksheet+xml">
        <DigestMethod Algorithm="http://www.w3.org/2001/04/xmlenc#sha256"/>
        <DigestValue>jbXGRfH707sLwhZbi+5/HL+rl/IvawJP9uZTMs1yI3E=</DigestValue>
      </Reference>
      <Reference URI="/xl/worksheets/sheet4.xml?ContentType=application/vnd.openxmlformats-officedocument.spreadsheetml.worksheet+xml">
        <DigestMethod Algorithm="http://www.w3.org/2001/04/xmlenc#sha256"/>
        <DigestValue>mv1rJdDGwezq0sHacHlgOUxo5mIGYshkTp50NxXH9yI=</DigestValue>
      </Reference>
      <Reference URI="/xl/worksheets/sheet5.xml?ContentType=application/vnd.openxmlformats-officedocument.spreadsheetml.worksheet+xml">
        <DigestMethod Algorithm="http://www.w3.org/2001/04/xmlenc#sha256"/>
        <DigestValue>+k0QxIZBUb1u24u+ykukQsJSmytjVsAKV5FrzI6ggGg=</DigestValue>
      </Reference>
      <Reference URI="/xl/worksheets/sheet6.xml?ContentType=application/vnd.openxmlformats-officedocument.spreadsheetml.worksheet+xml">
        <DigestMethod Algorithm="http://www.w3.org/2001/04/xmlenc#sha256"/>
        <DigestValue>nyH5a/wcYPtnOcgfDkEr/bcA9Gfj6gemFc4CQVaaJCY=</DigestValue>
      </Reference>
      <Reference URI="/xl/worksheets/sheet7.xml?ContentType=application/vnd.openxmlformats-officedocument.spreadsheetml.worksheet+xml">
        <DigestMethod Algorithm="http://www.w3.org/2001/04/xmlenc#sha256"/>
        <DigestValue>vJNDKiXYMHNNvVy/mGEklGW/YPIbxlEMq3UgiiUWECU=</DigestValue>
      </Reference>
      <Reference URI="/xl/worksheets/sheet8.xml?ContentType=application/vnd.openxmlformats-officedocument.spreadsheetml.worksheet+xml">
        <DigestMethod Algorithm="http://www.w3.org/2001/04/xmlenc#sha256"/>
        <DigestValue>oiFcYkmZkxNQQXX+uBO+W1KZdXn72L9b4r6XOcssUpk=</DigestValue>
      </Reference>
      <Reference URI="/xl/worksheets/sheet9.xml?ContentType=application/vnd.openxmlformats-officedocument.spreadsheetml.worksheet+xml">
        <DigestMethod Algorithm="http://www.w3.org/2001/04/xmlenc#sha256"/>
        <DigestValue>uE4H9+PqD8LrufCUPsz0z7aAEctgGDYb9KAQ8fvdJjo=</DigestValue>
      </Reference>
    </Manifest>
    <SignatureProperties>
      <SignatureProperty Id="idSignatureTime" Target="#idPackageSignature">
        <mdssi:SignatureTime xmlns:mdssi="http://schemas.openxmlformats.org/package/2006/digital-signature">
          <mdssi:Format>YYYY-MM-DDThh:mm:ssTZD</mdssi:Format>
          <mdssi:Value>2023-11-16T15:25:03Z</mdssi:Value>
        </mdssi:SignatureTime>
      </SignatureProperty>
    </SignatureProperties>
  </Object>
  <Object Id="idOfficeObject">
    <SignatureProperties>
      <SignatureProperty Id="idOfficeV1Details" Target="#idPackageSignature">
        <SignatureInfoV1 xmlns="http://schemas.microsoft.com/office/2006/digsig">
          <SetupID>{C1D69C51-5EB0-41A5-8C84-29CD97E06C7D}</SetupID>
          <SignatureText>Emilce Garcia</SignatureText>
          <SignatureImage/>
          <SignatureComments/>
          <WindowsVersion>10.0</WindowsVersion>
          <OfficeVersion>16.0.16924/26</OfficeVersion>
          <ApplicationVersion>16.0.16924</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2023-11-16T15:25:03Z</xd:SigningTime>
          <xd:SigningCertificate>
            <xd:Cert>
              <xd:CertDigest>
                <DigestMethod Algorithm="http://www.w3.org/2001/04/xmlenc#sha256"/>
                <DigestValue>kpOl82jIdylw8nbQlh2GxIjlcjfss1LoF5xJnwaRH7M=</DigestValue>
              </xd:CertDigest>
              <xd:IssuerSerial>
                <X509IssuerName>C=PY, O=DOCUMENTA S.A., SERIALNUMBER=RUC80050172-1, CN=CA-DOCUMENTA S.A.</X509IssuerName>
                <X509SerialNumber>367282386635317566</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D8BAACfAAAAAAAAAAAAAABmFgAALAsAACBFTUYAAAEAfBsAAKoAAAAGAAAAAAAAAAAAAAAAAAAAgAcAADgEAABYAQAAwQAAAAAAAAAAAAAAAAAAAMA/BQDo8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O4AAAAFAAAAMQEAABUAAADuAAAABQAAAEQ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O4AAAAFAAAAMgEAABYAAAAlAAAADAAAAAEAAABUAAAAiAAAAO8AAAAFAAAAMAEAABUAAAABAAAAVVWPQYX2jkHvAAAABQAAAAoAAABMAAAAAAAAAAAAAAAAAAAA//////////9gAAAAMQA2AC8AMQAxAC8AMgAwADIAMwAHAAAABwAAAAUAAAAHAAAABwAAAAUAAAAHAAAABwAAAAcAAAAHAAAASwAAAEAAAAAwAAAABQAAACAAAAABAAAAAQAAABAAAAAAAAAAAAAAAEABAACgAAAAAAAAAAAAAABAAQAAoAAAAFIAAABwAQAAAgAAABQAAAAJ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wAAAAAAAAAPwAAACEA8AAAAAAAAAAAAAAAgD8AAAAAAAAAAAAAgD8AAAAAAAAAAAAAAAAAAAAAAAAAAAAAAAAAAAAAAAAAACUAAAAMAAAAAAAAgCgAAAAMAAAAAwAAACcAAAAYAAAAAwAAAAAAAAAAAAAAAAAAACUAAAAMAAAAAwAAAEwAAABkAAAAAAAAAAAAAAD//////////wAAAAAcAAAAQAEAAAAAAAAhAPAAAAAAAAAAAAAAAIA/AAAAAAAAAAAAAIA/AAAAAAAAAAAAAAAAAAAAAAAAAAAAAAAAAAAAAAAAAAAlAAAADAAAAAAAAIAoAAAADAAAAAMAAAAnAAAAGAAAAAMAAAAAAAAAAAAAAAAAAAAlAAAADAAAAAMAAABMAAAAZAAAAAAAAAAAAAAA//////////9AAQAAHAAAAAAAAAA/AAAAIQDwAAAAAAAAAAAAAACAPwAAAAAAAAAAAACAPwAAAAAAAAAAAAAAAAAAAAAAAAAAAAAAAAAAAAAAAAAAJQAAAAwAAAAAAACAKAAAAAwAAAADAAAAJwAAABgAAAADAAAAAAAAAAAAAAAAAAAAJQAAAAwAAAADAAAATAAAAGQAAAAAAAAAWwAAAD8BAABcAAAAAAAAAFsAAABAAQAAAgAAACEA8AAAAAAAAAAAAAAAgD8AAAAAAAAAAAAAgD8AAAAAAAAAAAAAAAAAAAAAAAAAAAAAAAAAAAAAAAAAACUAAAAMAAAAAAAAgCgAAAAMAAAAAwAAACcAAAAYAAAAAwAAAAAAAAD///8AAAAAACUAAAAMAAAAAwAAAEwAAABkAAAAAAAAABwAAAA/AQAAWgAAAAAAAAAcAAAAQAEAAD8AAAAhAPAAAAAAAAAAAAAAAIA/AAAAAAAAAAAAAIA/AAAAAAAAAAAAAAAAAAAAAAAAAAAAAAAAAAAAAAAAAAAlAAAADAAAAAAAAIAoAAAADAAAAAMAAAAnAAAAGAAAAAMAAAAAAAAA////AAAAAAAlAAAADAAAAAMAAABMAAAAZAAAAAsAAAA3AAAAIQAAAFoAAAALAAAAN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wAAAA3AAAAIAAAAFoAAAABAAAAVVWPQYX2jkEMAAAAWwAAAAEAAABMAAAABAAAAAsAAAA3AAAAIgAAAFsAAABQAAAAWAAAABUAAAAWAAAADAAAAAAAAAAlAAAADAAAAAIAAAAnAAAAGAAAAAQAAAAAAAAA////AAAAAAAlAAAADAAAAAQAAABMAAAAZAAAADAAAAAgAAAANAEAAFoAAAAwAAAAIAAAAAUBAAA7AAAAIQDwAAAAAAAAAAAAAACAPwAAAAAAAAAAAACAPwAAAAAAAAAAAAAAAAAAAAAAAAAAAAAAAAAAAAAAAAAAJQAAAAwAAAAAAACAKAAAAAwAAAAEAAAAJwAAABgAAAAEAAAAAAAAAP///wAAAAAAJQAAAAwAAAAEAAAATAAAAGQAAAAwAAAAIAAAADQBAABWAAAAMAAAACAAAAAFAQAANwAAACEA8AAAAAAAAAAAAAAAgD8AAAAAAAAAAAAAgD8AAAAAAAAAAAAAAAAAAAAAAAAAAAAAAAAAAAAAAAAAACUAAAAMAAAAAAAAgCgAAAAMAAAABAAAACcAAAAYAAAABAAAAAAAAAD///8AAAAAACUAAAAMAAAABAAAAEwAAABkAAAAMAAAADsAAAClAAAAVgAAADAAAAA7AAAAdgAAABwAAAAhAPAAAAAAAAAAAAAAAIA/AAAAAAAAAAAAAIA/AAAAAAAAAAAAAAAAAAAAAAAAAAAAAAAAAAAAAAAAAAAlAAAADAAAAAAAAIAoAAAADAAAAAQAAABSAAAAcAEAAAQAAADs////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MAAAADsAAACmAAAAVwAAACUAAAAMAAAABAAAAFQAAACcAAAAMQAAADsAAACkAAAAVgAAAAEAAABVVY9BhfaOQTEAAAA7AAAADQAAAEwAAAAAAAAAAAAAAAAAAAD//////////2gAAABFAG0AaQBsAGMAZQAgAEcAYQByAGMAaQBhAAMACgAAABEAAAAFAAAABQAAAAkAAAAKAAAABQAAAA4AAAAKAAAABwAAAAkAAAAFAAAACgAAAEsAAABAAAAAMAAAAAUAAAAgAAAAAQAAAAEAAAAQAAAAAAAAAAAAAABAAQAAoAAAAAAAAAAAAAAAQAEAAKAAAAAlAAAADAAAAAIAAAAnAAAAGAAAAAUAAAAAAAAA////AAAAAAAlAAAADAAAAAUAAABMAAAAZAAAAAAAAABhAAAAPwEAAJsAAAAAAAAAYQAAAEABAAA7AAAAIQDwAAAAAAAAAAAAAACAPwAAAAAAAAAAAACAPwAAAAAAAAAAAAAAAAAAAAAAAAAAAAAAAAAAAAAAAAAAJQAAAAwAAAAAAACAKAAAAAwAAAAFAAAAJwAAABgAAAAFAAAAAAAAAP///wAAAAAAJQAAAAwAAAAFAAAATAAAAGQAAAAOAAAAYQAAADEBAABxAAAADgAAAGEAAAAkAQAAEQAAACEA8AAAAAAAAAAAAAAAgD8AAAAAAAAAAAAAgD8AAAAAAAAAAAAAAAAAAAAAAAAAAAAAAAAAAAAAAAAAACUAAAAMAAAAAAAAgCgAAAAMAAAABQAAACUAAAAMAAAAAQAAABgAAAAMAAAAAAAAABIAAAAMAAAAAQAAAB4AAAAYAAAADgAAAGEAAAAyAQAAcgAAACUAAAAMAAAAAQAAAFQAAACcAAAADwAAAGEAAABcAAAAcQAAAAEAAABVVY9BhfaOQQ8AAABhAAAADQAAAEwAAAAAAAAAAAAAAAAAAAD//////////2gAAABFAG0AaQBsAGMAZQAgAEcAYQByAGMAaQBhAAAABwAAAAsAAAADAAAAAwAAAAYAAAAHAAAABAAAAAkAAAAHAAAABQAAAAYAAAADAAAABwAAAEsAAABAAAAAMAAAAAUAAAAgAAAAAQAAAAEAAAAQAAAAAAAAAAAAAABAAQAAoAAAAAAAAAAAAAAAQAEAAKAAAAAlAAAADAAAAAIAAAAnAAAAGAAAAAUAAAAAAAAA////AAAAAAAlAAAADAAAAAUAAABMAAAAZAAAAA4AAAB2AAAAMQEAAIYAAAAOAAAAdgAAACQBAAARAAAAIQDwAAAAAAAAAAAAAACAPwAAAAAAAAAAAACAPwAAAAAAAAAAAAAAAAAAAAAAAAAAAAAAAAAAAAAAAAAAJQAAAAwAAAAAAACAKAAAAAwAAAAFAAAAJQAAAAwAAAABAAAAGAAAAAwAAAAAAAAAEgAAAAwAAAABAAAAHgAAABgAAAAOAAAAdgAAADIBAACHAAAAJQAAAAwAAAABAAAAVAAAAIQAAAAPAAAAdgAAAEkAAACGAAAAAQAAAFVVj0GF9o5BDwAAAHYAAAAJAAAATAAAAAAAAAAAAAAAAAAAAP//////////YAAAAEMAbwBuAHQAYQBkAG8AcgAgAAAACAAAAAgAAAAHAAAABAAAAAcAAAAIAAAACAAAAAUAAAAEAAAASwAAAEAAAAAwAAAABQAAACAAAAABAAAAAQAAABAAAAAAAAAAAAAAAEABAACgAAAAAAAAAAAAAABAAQAAoAAAACUAAAAMAAAAAgAAACcAAAAYAAAABQAAAAAAAAD///8AAAAAACUAAAAMAAAABQAAAEwAAABkAAAADgAAAIsAAAAKAQAAmwAAAA4AAACLAAAA/QAAABEAAAAhAPAAAAAAAAAAAAAAAIA/AAAAAAAAAAAAAIA/AAAAAAAAAAAAAAAAAAAAAAAAAAAAAAAAAAAAAAAAAAAlAAAADAAAAAAAAIAoAAAADAAAAAUAAAAlAAAADAAAAAEAAAAYAAAADAAAAAAAAAASAAAADAAAAAEAAAAWAAAADAAAAAAAAABUAAAALAEAAA8AAACLAAAACQEAAJsAAAABAAAAVVWPQYX2jkEPAAAAiwAAACUAAABMAAAABAAAAA4AAACLAAAACwEAAJwAAACYAAAARgBpAHIAbQBhAGQAbwAgAHAAbwByADoAIABFAE0ASQBMAEMARQAgAEcAQQBSAEMASQBBACAAVgBBAEwARQBOAFoAVQBFAEwAQQAAAAYAAAADAAAABQAAAAsAAAAHAAAACAAAAAgAAAAEAAAACAAAAAgAAAAFAAAAAwAAAAQAAAAHAAAADAAAAAMAAAAGAAAACAAAAAcAAAAEAAAACQAAAAgAAAAIAAAACAAAAAMAAAAIAAAABAAAAAgAAAAIAAAABgAAAAcAAAAKAAAABwAAAAkAAAAHAAAABgAAAAgAAAAWAAAADAAAAAAAAAAlAAAADAAAAAIAAAAOAAAAFAAAAAAAAAAQAAAAFAAAAA==</Object>
  <Object Id="idInvalidSigLnImg">AQAAAGwAAAAAAAAAAAAAAD8BAACfAAAAAAAAAAAAAABmFgAALAsAACBFTUYAAAEA+CEAALEAAAAGAAAAAAAAAAAAAAAAAAAAgAcAADgEAABYAQAAwQAAAAAAAAAAAAAAAAAAAMA/BQDo8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hfaOQTEAAAAFAAAADwAAAEwAAAAAAAAAAAAAAAAAAAD//////////2wAAABGAGkAcgBtAGEAIABuAG8AIAB2AOEAbABpAGQAYQAAAA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GF9o5BDAAAAFsAAAABAAAATAAAAAQAAAALAAAANwAAACIAAABbAAAAUAAAAFgAZQ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pQAAAFYAAAAwAAAAOwAAAHY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pgAAAFcAAAAlAAAADAAAAAQAAABUAAAAnAAAADEAAAA7AAAApAAAAFYAAAABAAAAVVWPQYX2jkExAAAAOwAAAA0AAABMAAAAAAAAAAAAAAAAAAAA//////////9oAAAARQBtAGkAbABjAGUAIABHAGEAcgBjAGkAYQAAAAoAAAARAAAABQAAAAUAAAAJAAAACgAAAAUAAAAOAAAACgAAAAcAAAAJAAAABQAAAAoAAABLAAAAQAAAADAAAAAFAAAAIAAAAAEAAAABAAAAEAAAAAAAAAAAAAAAQAEAAKAAAAAAAAAAAAAAAEABAACgAAAAJQAAAAwAAAACAAAAJwAAABgAAAAFAAAAAAAAAP///wAAAAAAJQAAAAwAAAAFAAAATAAAAGQAAAAAAAAAYQAAAD8BAACbAAAAAAAAAGEAAABAAQAAOwAAACEA8AAAAAAAAAAAAAAAgD8AAAAAAAAAAAAAgD8AAAAAAAAAAAAAAAAAAAAAAAAAAAAAAAAAAAAAAAAAACUAAAAMAAAAAAAAgCgAAAAMAAAABQAAACcAAAAYAAAABQAAAAAAAAD///8AAAAAACUAAAAMAAAABQAAAEwAAABkAAAADgAAAGEAAAAxAQAAcQAAAA4AAABhAAAAJAEAABEAAAAhAPAAAAAAAAAAAAAAAIA/AAAAAAAAAAAAAIA/AAAAAAAAAAAAAAAAAAAAAAAAAAAAAAAAAAAAAAAAAAAlAAAADAAAAAAAAIAoAAAADAAAAAUAAAAlAAAADAAAAAEAAAAYAAAADAAAAAAAAAASAAAADAAAAAEAAAAeAAAAGAAAAA4AAABhAAAAMgEAAHIAAAAlAAAADAAAAAEAAABUAAAAnAAAAA8AAABhAAAAXAAAAHEAAAABAAAAVVWPQYX2jkEPAAAAYQAAAA0AAABMAAAAAAAAAAAAAAAAAAAA//////////9oAAAARQBtAGkAbABjAGUAIABHAGEAcgBjAGkAYQAAAAcAAAALAAAAAwAAAAMAAAAGAAAABwAAAAQAAAAJAAAABwAAAAUAAAAGAAAAAwAAAAcAAABLAAAAQAAAADAAAAAFAAAAIAAAAAEAAAABAAAAEAAAAAAAAAAAAAAAQAEAAKAAAAAAAAAAAAAAAEABAACgAAAAJQAAAAwAAAACAAAAJwAAABgAAAAFAAAAAAAAAP///wAAAAAAJQAAAAwAAAAFAAAATAAAAGQAAAAOAAAAdgAAADEBAACGAAAADgAAAHYAAAAkAQAAEQAAACEA8AAAAAAAAAAAAAAAgD8AAAAAAAAAAAAAgD8AAAAAAAAAAAAAAAAAAAAAAAAAAAAAAAAAAAAAAAAAACUAAAAMAAAAAAAAgCgAAAAMAAAABQAAACUAAAAMAAAAAQAAABgAAAAMAAAAAAAAABIAAAAMAAAAAQAAAB4AAAAYAAAADgAAAHYAAAAyAQAAhwAAACUAAAAMAAAAAQAAAFQAAACEAAAADwAAAHYAAABJAAAAhgAAAAEAAABVVY9BhfaOQQ8AAAB2AAAACQAAAEwAAAAAAAAAAAAAAAAAAAD//////////2AAAABDAG8AbgB0AGEAZABvAHIAIAAAAAgAAAAIAAAABwAAAAQAAAAHAAAACAAAAAgAAAAFAAAABAAAAEsAAABAAAAAMAAAAAUAAAAgAAAAAQAAAAEAAAAQAAAAAAAAAAAAAABAAQAAoAAAAAAAAAAAAAAAQAEAAKAAAAAlAAAADAAAAAIAAAAnAAAAGAAAAAUAAAAAAAAA////AAAAAAAlAAAADAAAAAUAAABMAAAAZAAAAA4AAACLAAAACgEAAJsAAAAOAAAAiwAAAP0AAAARAAAAIQDwAAAAAAAAAAAAAACAPwAAAAAAAAAAAACAPwAAAAAAAAAAAAAAAAAAAAAAAAAAAAAAAAAAAAAAAAAAJQAAAAwAAAAAAACAKAAAAAwAAAAFAAAAJQAAAAwAAAABAAAAGAAAAAwAAAAAAAAAEgAAAAwAAAABAAAAFgAAAAwAAAAAAAAAVAAAACwBAAAPAAAAiwAAAAkBAACbAAAAAQAAAFVVj0GF9o5BDwAAAIsAAAAlAAAATAAAAAQAAAAOAAAAiwAAAAsBAACcAAAAmAAAAEYAaQByAG0AYQBkAG8AIABwAG8AcgA6ACAARQBNAEkATABDAEUAIABHAEEAUgBDAEkAQQAgAFYAQQBMAEUATgBaAFUARQBMAEEAAAAGAAAAAwAAAAUAAAALAAAABwAAAAgAAAAIAAAABAAAAAgAAAAIAAAABQAAAAMAAAAEAAAABwAAAAwAAAADAAAABgAAAAgAAAAHAAAABAAAAAkAAAAIAAAACAAAAAgAAAADAAAACAAAAAQAAAAIAAAACAAAAAYAAAAHAAAACgAAAAcAAAAJAAAABwAAAAYAAAAIAAAAFgAAAAwAAAAAAAAAJQAAAAwAAAACAAAADgAAABQAAAAAAAAAEAAAABQAAAA=</Object>
</Signature>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Flow_SignoffStatus xmlns="50cd21ce-157e-4cef-a9e1-719e8f6c805e" xsi:nil="true"/>
    <Hoa xmlns="50cd21ce-157e-4cef-a9e1-719e8f6c805e" xsi:nil="true"/>
    <SharedWithUsers xmlns="e22f4d1c-4a35-40b6-96d5-1a9c7e49af38">
      <UserInfo>
        <DisplayName>Alexia Gamarra</DisplayName>
        <AccountId>4698</AccountId>
        <AccountType/>
      </UserInfo>
      <UserInfo>
        <DisplayName>Javier Benítez Duarte</DisplayName>
        <AccountId>34</AccountId>
        <AccountType/>
      </UserInfo>
      <UserInfo>
        <DisplayName>Katherine Benitez</DisplayName>
        <AccountId>101</AccountId>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8F96CCBAA34616448FBC297C7A054588" ma:contentTypeVersion="15" ma:contentTypeDescription="Crear nuevo documento." ma:contentTypeScope="" ma:versionID="46938aa07ede7107a744508d0599fe25">
  <xsd:schema xmlns:xsd="http://www.w3.org/2001/XMLSchema" xmlns:xs="http://www.w3.org/2001/XMLSchema" xmlns:p="http://schemas.microsoft.com/office/2006/metadata/properties" xmlns:ns2="50cd21ce-157e-4cef-a9e1-719e8f6c805e" xmlns:ns3="e22f4d1c-4a35-40b6-96d5-1a9c7e49af38" targetNamespace="http://schemas.microsoft.com/office/2006/metadata/properties" ma:root="true" ma:fieldsID="c91fc00d0c6d17776b1987653665d6ea" ns2:_="" ns3:_="">
    <xsd:import namespace="50cd21ce-157e-4cef-a9e1-719e8f6c805e"/>
    <xsd:import namespace="e22f4d1c-4a35-40b6-96d5-1a9c7e49af38"/>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3:SharedWithUsers" minOccurs="0"/>
                <xsd:element ref="ns3:SharedWithDetails" minOccurs="0"/>
                <xsd:element ref="ns2:MediaServiceLocation" minOccurs="0"/>
                <xsd:element ref="ns2:MediaServiceOCR" minOccurs="0"/>
                <xsd:element ref="ns2:MediaServiceEventHashCode" minOccurs="0"/>
                <xsd:element ref="ns2:MediaServiceGenerationTime" minOccurs="0"/>
                <xsd:element ref="ns2:_Flow_SignoffStatus" minOccurs="0"/>
                <xsd:element ref="ns2:MediaServiceAutoKeyPoints" minOccurs="0"/>
                <xsd:element ref="ns2:MediaServiceKeyPoints" minOccurs="0"/>
                <xsd:element ref="ns2:Hoa"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0cd21ce-157e-4cef-a9e1-719e8f6c805e" elementFormDefault="qualified">
    <xsd:import namespace="http://schemas.microsoft.com/office/2006/documentManagement/types"/>
    <xsd:import namespace="http://schemas.microsoft.com/office/infopath/2007/PartnerControls"/>
    <xsd:element name="MediaServiceMetadata" ma:index="8" nillable="true" ma:displayName="MediaServiceMetadata" ma:description="" ma:hidden="true" ma:internalName="MediaServiceMetadata" ma:readOnly="true">
      <xsd:simpleType>
        <xsd:restriction base="dms:Note"/>
      </xsd:simpleType>
    </xsd:element>
    <xsd:element name="MediaServiceFastMetadata" ma:index="9" nillable="true" ma:displayName="MediaServiceFastMetadata" ma:description="" ma:hidden="true" ma:internalName="MediaServiceFastMetadata" ma:readOnly="true">
      <xsd:simpleType>
        <xsd:restriction base="dms:Note"/>
      </xsd:simpleType>
    </xsd:element>
    <xsd:element name="MediaServiceDateTaken" ma:index="10" nillable="true" ma:displayName="MediaServiceDateTaken" ma:description="" ma:hidden="true" ma:internalName="MediaServiceDateTaken" ma:readOnly="true">
      <xsd:simpleType>
        <xsd:restriction base="dms:Text"/>
      </xsd:simpleType>
    </xsd:element>
    <xsd:element name="MediaServiceAutoTags" ma:index="11" nillable="true" ma:displayName="MediaServiceAutoTags" ma:description="" ma:internalName="MediaServiceAutoTags" ma:readOnly="true">
      <xsd:simpleType>
        <xsd:restriction base="dms:Text"/>
      </xsd:simpleType>
    </xsd:element>
    <xsd:element name="MediaServiceLocation" ma:index="14" nillable="true" ma:displayName="MediaServiceLocation" ma:description="" ma:internalName="MediaServiceLocation" ma:readOnly="true">
      <xsd:simpleType>
        <xsd:restriction base="dms:Text"/>
      </xsd:simpleType>
    </xsd:element>
    <xsd:element name="MediaServiceOCR" ma:index="15" nillable="true" ma:displayName="MediaServiceOCR" ma:internalName="MediaServiceOCR" ma:readOnly="true">
      <xsd:simpleType>
        <xsd:restriction base="dms:Note">
          <xsd:maxLength value="255"/>
        </xsd:restriction>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_Flow_SignoffStatus" ma:index="18" nillable="true" ma:displayName="Estado de aprobación" ma:internalName="Estado_x0020_de_x0020_aprobaci_x00f3_n">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Hoa" ma:index="21" nillable="true" ma:displayName="Hoa" ma:format="DateTime" ma:internalName="Hoa">
      <xsd:simpleType>
        <xsd:restriction base="dms:DateTime"/>
      </xsd:simpleType>
    </xsd:element>
    <xsd:element name="MediaLengthInSeconds" ma:index="22"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e22f4d1c-4a35-40b6-96d5-1a9c7e49af38" elementFormDefault="qualified">
    <xsd:import namespace="http://schemas.microsoft.com/office/2006/documentManagement/types"/>
    <xsd:import namespace="http://schemas.microsoft.com/office/infopath/2007/PartnerControls"/>
    <xsd:element name="SharedWithUsers" ma:index="12" nillable="true" ma:displayName="Compartido con"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description=""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AF375CE-3FE8-4521-9140-21C29AD10A4C}">
  <ds:schemaRefs>
    <ds:schemaRef ds:uri="http://www.w3.org/XML/1998/namespace"/>
    <ds:schemaRef ds:uri="http://purl.org/dc/dcmitype/"/>
    <ds:schemaRef ds:uri="http://schemas.openxmlformats.org/package/2006/metadata/core-properties"/>
    <ds:schemaRef ds:uri="50cd21ce-157e-4cef-a9e1-719e8f6c805e"/>
    <ds:schemaRef ds:uri="http://schemas.microsoft.com/office/infopath/2007/PartnerControls"/>
    <ds:schemaRef ds:uri="http://purl.org/dc/elements/1.1/"/>
    <ds:schemaRef ds:uri="e22f4d1c-4a35-40b6-96d5-1a9c7e49af38"/>
    <ds:schemaRef ds:uri="http://schemas.microsoft.com/office/2006/documentManagement/types"/>
    <ds:schemaRef ds:uri="http://purl.org/dc/terms/"/>
    <ds:schemaRef ds:uri="http://schemas.microsoft.com/office/2006/metadata/properties"/>
  </ds:schemaRefs>
</ds:datastoreItem>
</file>

<file path=customXml/itemProps2.xml><?xml version="1.0" encoding="utf-8"?>
<ds:datastoreItem xmlns:ds="http://schemas.openxmlformats.org/officeDocument/2006/customXml" ds:itemID="{6A768923-2562-4388-BDE5-ACBBCC8DD294}">
  <ds:schemaRefs>
    <ds:schemaRef ds:uri="http://schemas.microsoft.com/sharepoint/v3/contenttype/forms"/>
  </ds:schemaRefs>
</ds:datastoreItem>
</file>

<file path=customXml/itemProps3.xml><?xml version="1.0" encoding="utf-8"?>
<ds:datastoreItem xmlns:ds="http://schemas.openxmlformats.org/officeDocument/2006/customXml" ds:itemID="{0FE54A5C-3065-48A7-8457-26749FF0B57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0cd21ce-157e-4cef-a9e1-719e8f6c805e"/>
    <ds:schemaRef ds:uri="e22f4d1c-4a35-40b6-96d5-1a9c7e49af3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35</vt:i4>
      </vt:variant>
    </vt:vector>
  </HeadingPairs>
  <TitlesOfParts>
    <vt:vector size="35" baseType="lpstr">
      <vt:lpstr>2023</vt:lpstr>
      <vt:lpstr>2022</vt:lpstr>
      <vt:lpstr>BASE BALANCE</vt:lpstr>
      <vt:lpstr>Hoja5</vt:lpstr>
      <vt:lpstr>Est Finan</vt:lpstr>
      <vt:lpstr>Indice</vt:lpstr>
      <vt:lpstr>Nota 1</vt:lpstr>
      <vt:lpstr>Nota 2</vt:lpstr>
      <vt:lpstr>BG</vt:lpstr>
      <vt:lpstr>Nota 3</vt:lpstr>
      <vt:lpstr>Nota 4</vt:lpstr>
      <vt:lpstr>Nota 5</vt:lpstr>
      <vt:lpstr>Nota 6</vt:lpstr>
      <vt:lpstr>Nota 7</vt:lpstr>
      <vt:lpstr>Nota 8</vt:lpstr>
      <vt:lpstr>Nota 9</vt:lpstr>
      <vt:lpstr>Nota 10</vt:lpstr>
      <vt:lpstr>Nota 11</vt:lpstr>
      <vt:lpstr>Nota 12</vt:lpstr>
      <vt:lpstr>Nota 13</vt:lpstr>
      <vt:lpstr>EERR</vt:lpstr>
      <vt:lpstr>ER</vt:lpstr>
      <vt:lpstr>calculo flujo de caja</vt:lpstr>
      <vt:lpstr>Nota 14</vt:lpstr>
      <vt:lpstr>Nota 15</vt:lpstr>
      <vt:lpstr>Nota 16</vt:lpstr>
      <vt:lpstr>Nota 17</vt:lpstr>
      <vt:lpstr>Nota 18</vt:lpstr>
      <vt:lpstr>Nota 19</vt:lpstr>
      <vt:lpstr>Nota 20</vt:lpstr>
      <vt:lpstr>Nota 21</vt:lpstr>
      <vt:lpstr>Nota 22</vt:lpstr>
      <vt:lpstr>Nota 23</vt:lpstr>
      <vt:lpstr>EVPN</vt:lpstr>
      <vt:lpstr>EFE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Leonardo Salomon</cp:lastModifiedBy>
  <dcterms:created xsi:type="dcterms:W3CDTF">2022-04-18T14:22:28Z</dcterms:created>
  <dcterms:modified xsi:type="dcterms:W3CDTF">2023-11-15T10:50:07Z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0x0101008F96CCBAA34616448FBC297C7A054588</vt:lpwstr>
  </property>
</Properties>
</file>