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user\Desktop\"/>
    </mc:Choice>
  </mc:AlternateContent>
  <xr:revisionPtr revIDLastSave="0" documentId="8_{D5060FA5-375F-437B-896A-D83BE0327A1E}" xr6:coauthVersionLast="47" xr6:coauthVersionMax="47" xr10:uidLastSave="{00000000-0000-0000-0000-000000000000}"/>
  <bookViews>
    <workbookView xWindow="-120" yWindow="-120" windowWidth="19440" windowHeight="10440" tabRatio="917" activeTab="1" xr2:uid="{00000000-000D-0000-FFFF-FFFF00000000}"/>
  </bookViews>
  <sheets>
    <sheet name="Indice" sheetId="1" r:id="rId1"/>
    <sheet name="BG" sheetId="2" r:id="rId2"/>
    <sheet name="ER" sheetId="3" r:id="rId3"/>
    <sheet name="EFE" sheetId="5" r:id="rId4"/>
    <sheet name="EVPN" sheetId="4" r:id="rId5"/>
    <sheet name="Calc.Aux." sheetId="49" state="hidden" r:id="rId6"/>
    <sheet name="3 años" sheetId="50" state="hidden" r:id="rId7"/>
    <sheet name="2023" sheetId="52" state="hidden" r:id="rId8"/>
    <sheet name="2022" sheetId="51" state="hidden" r:id="rId9"/>
    <sheet name="Nota1" sheetId="6" r:id="rId10"/>
    <sheet name="Nota 2" sheetId="7" r:id="rId11"/>
    <sheet name="Nota 3" sheetId="8" r:id="rId12"/>
    <sheet name="Nota 4" sheetId="10" r:id="rId13"/>
    <sheet name="2024" sheetId="54" state="hidden" r:id="rId14"/>
    <sheet name="Nota 5" sheetId="11" r:id="rId15"/>
    <sheet name="Nota 6" sheetId="12" r:id="rId16"/>
    <sheet name="Nota 7" sheetId="13" r:id="rId17"/>
    <sheet name="Nota 8" sheetId="14" r:id="rId18"/>
    <sheet name="Nota 9" sheetId="15" r:id="rId19"/>
    <sheet name="Nota 10" sheetId="16" r:id="rId20"/>
    <sheet name="Nota 11" sheetId="17" r:id="rId21"/>
    <sheet name="Nota 12" sheetId="18" r:id="rId22"/>
    <sheet name="Nota 13" sheetId="19" r:id="rId23"/>
    <sheet name="Nota 14" sheetId="20" r:id="rId24"/>
    <sheet name="Nota 15" sheetId="21" r:id="rId25"/>
    <sheet name="Nota 16" sheetId="22" r:id="rId26"/>
    <sheet name="Nota 17" sheetId="23" r:id="rId27"/>
    <sheet name="Nota 18" sheetId="24" r:id="rId28"/>
    <sheet name="Nota 19" sheetId="25" r:id="rId29"/>
    <sheet name="Nota 20" sheetId="26" r:id="rId30"/>
    <sheet name=" Nota 21" sheetId="27" r:id="rId31"/>
    <sheet name="Nota 22" sheetId="28" r:id="rId32"/>
    <sheet name="Nota 23" sheetId="29" r:id="rId33"/>
    <sheet name="Nota 24" sheetId="30" r:id="rId34"/>
    <sheet name="Nota 25" sheetId="33" r:id="rId35"/>
    <sheet name="Nota 26" sheetId="31" r:id="rId36"/>
    <sheet name="Detalle 27" sheetId="53" state="hidden" r:id="rId37"/>
    <sheet name="Nota 27" sheetId="34" r:id="rId38"/>
    <sheet name="Nota 28" sheetId="36" r:id="rId39"/>
    <sheet name="Nota 29" sheetId="35" r:id="rId40"/>
    <sheet name="Nota 30" sheetId="37" r:id="rId41"/>
    <sheet name="Nota 31" sheetId="38" r:id="rId42"/>
    <sheet name="Nota 32" sheetId="39" r:id="rId43"/>
    <sheet name="Nota 33" sheetId="40" r:id="rId44"/>
    <sheet name="Nota 34" sheetId="41" r:id="rId45"/>
    <sheet name="Nota 35" sheetId="42" r:id="rId46"/>
    <sheet name="Nota 36" sheetId="43" r:id="rId47"/>
    <sheet name="Nota 37" sheetId="44" r:id="rId48"/>
    <sheet name="Nota 38" sheetId="45" r:id="rId49"/>
    <sheet name="Nota 39" sheetId="46" r:id="rId50"/>
    <sheet name="Nota 40" sheetId="47" r:id="rId51"/>
    <sheet name="Base de Monedas" sheetId="48" r:id="rId52"/>
  </sheets>
  <externalReferences>
    <externalReference r:id="rId53"/>
    <externalReference r:id="rId54"/>
  </externalReferences>
  <definedNames>
    <definedName name="_xlnm._FilterDatabase" localSheetId="36" hidden="1">'Detalle 27'!$A$2:$G$193</definedName>
    <definedName name="_xlnm.Print_Area" localSheetId="30">' Nota 21'!$A$1:$I$28</definedName>
    <definedName name="_xlnm.Print_Area" localSheetId="1">BG!$A$1:$G$64</definedName>
    <definedName name="_xlnm.Print_Area" localSheetId="3">EFE!$A$1:$C$45</definedName>
    <definedName name="_xlnm.Print_Area" localSheetId="2">ER!$A$1:$D$37</definedName>
    <definedName name="_xlnm.Print_Area" localSheetId="4">EVPN!$A$1:$T$37</definedName>
    <definedName name="_xlnm.Print_Area" localSheetId="0">Indice!$A$1:$D$64</definedName>
    <definedName name="_xlnm.Print_Area" localSheetId="19">'Nota 10'!$A$1:$D$24</definedName>
    <definedName name="_xlnm.Print_Area" localSheetId="20">'Nota 11'!$A$1:$F$22</definedName>
    <definedName name="_xlnm.Print_Area" localSheetId="21">'Nota 12'!$A$1:$E$18</definedName>
    <definedName name="_xlnm.Print_Area" localSheetId="22">'Nota 13'!$A$1:$E$27</definedName>
    <definedName name="_xlnm.Print_Area" localSheetId="23">'Nota 14'!$A$1:$L$70</definedName>
    <definedName name="_xlnm.Print_Area" localSheetId="24">'Nota 15'!$A$1:$D$25</definedName>
    <definedName name="_xlnm.Print_Area" localSheetId="25">'Nota 16'!$A$1:$F$21</definedName>
    <definedName name="_xlnm.Print_Area" localSheetId="26">'Nota 17'!$A$1:$G$27</definedName>
    <definedName name="_xlnm.Print_Area" localSheetId="27">'Nota 18'!$A$1:$D$21</definedName>
    <definedName name="_xlnm.Print_Area" localSheetId="28">'Nota 19'!$A$1:$G$37</definedName>
    <definedName name="_xlnm.Print_Area" localSheetId="10">'Nota 2'!$A$1:$J$54</definedName>
    <definedName name="_xlnm.Print_Area" localSheetId="29">'Nota 20'!$A$1:$D$18</definedName>
    <definedName name="_xlnm.Print_Area" localSheetId="31">'Nota 22'!$A$1:$F$14</definedName>
    <definedName name="_xlnm.Print_Area" localSheetId="32">'Nota 23'!$A$1:$F$15</definedName>
    <definedName name="_xlnm.Print_Area" localSheetId="33">'Nota 24'!$A$1:$F$14</definedName>
    <definedName name="_xlnm.Print_Area" localSheetId="34">'Nota 25'!$A$1:$F$29</definedName>
    <definedName name="_xlnm.Print_Area" localSheetId="35">'Nota 26'!$A$1:$F$25</definedName>
    <definedName name="_xlnm.Print_Area" localSheetId="37">'Nota 27'!$A$1:$J$52</definedName>
    <definedName name="_xlnm.Print_Area" localSheetId="38">'Nota 28'!$A$1:$H$24</definedName>
    <definedName name="_xlnm.Print_Area" localSheetId="39">'Nota 29'!$A$1:$G$22</definedName>
    <definedName name="_xlnm.Print_Area" localSheetId="11">'Nota 3'!$A$1:$E$61</definedName>
    <definedName name="_xlnm.Print_Area" localSheetId="40">'Nota 30'!$A$1:$E$24</definedName>
    <definedName name="_xlnm.Print_Area" localSheetId="41">'Nota 31'!$A$1:$E$25</definedName>
    <definedName name="_xlnm.Print_Area" localSheetId="42">'Nota 32'!$A$1:$E$18</definedName>
    <definedName name="_xlnm.Print_Area" localSheetId="43">'Nota 33'!$A$1:$E$23</definedName>
    <definedName name="_xlnm.Print_Area" localSheetId="44">'Nota 34'!$A$1:$E$19</definedName>
    <definedName name="_xlnm.Print_Area" localSheetId="45">'Nota 35'!$A$1:$E$18</definedName>
    <definedName name="_xlnm.Print_Area" localSheetId="46">'Nota 36'!$A$1:$E$18</definedName>
    <definedName name="_xlnm.Print_Area" localSheetId="47">'Nota 37'!$A$1:$I$18</definedName>
    <definedName name="_xlnm.Print_Area" localSheetId="48">'Nota 38'!$A$1:$G$30</definedName>
    <definedName name="_xlnm.Print_Area" localSheetId="49">'Nota 39'!$A$1:$I$11</definedName>
    <definedName name="_xlnm.Print_Area" localSheetId="12">'Nota 4'!$A$1:$D$21</definedName>
    <definedName name="_xlnm.Print_Area" localSheetId="50">'Nota 40'!$A$1:$D$37</definedName>
    <definedName name="_xlnm.Print_Area" localSheetId="14">'Nota 5'!$A$1:$I$56</definedName>
    <definedName name="_xlnm.Print_Area" localSheetId="15">'Nota 6'!$A$1:$H$34</definedName>
    <definedName name="_xlnm.Print_Area" localSheetId="16">'Nota 7'!$A$1:$D$19</definedName>
    <definedName name="_xlnm.Print_Area" localSheetId="17">'Nota 8'!$A$1:$L$21</definedName>
    <definedName name="_xlnm.Print_Area" localSheetId="18">'Nota 9'!$A$1:$M$43</definedName>
    <definedName name="_xlnm.Print_Area" localSheetId="9">Nota1!$A$1:$J$52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0" i="7" l="1"/>
  <c r="E67" i="20"/>
  <c r="E37" i="20"/>
  <c r="E36" i="20"/>
  <c r="D22" i="7"/>
  <c r="E20" i="7" l="1"/>
  <c r="E22" i="7"/>
  <c r="C38" i="8"/>
  <c r="C286" i="54"/>
  <c r="C291" i="54" s="1"/>
  <c r="B21" i="31" s="1"/>
  <c r="C78" i="54"/>
  <c r="N25" i="4"/>
  <c r="N24" i="4"/>
  <c r="L24" i="4"/>
  <c r="N16" i="4"/>
  <c r="N14" i="4"/>
  <c r="F174" i="49"/>
  <c r="F175" i="49"/>
  <c r="F95" i="49"/>
  <c r="C39" i="52"/>
  <c r="C12" i="52"/>
  <c r="H21" i="50"/>
  <c r="J21" i="50" s="1"/>
  <c r="H17" i="50"/>
  <c r="J17" i="50" s="1"/>
  <c r="J15" i="50"/>
  <c r="J16" i="50"/>
  <c r="J18" i="50"/>
  <c r="J20" i="50"/>
  <c r="J22" i="50"/>
  <c r="J23" i="50"/>
  <c r="J24" i="50"/>
  <c r="J25" i="50"/>
  <c r="J26" i="50"/>
  <c r="J27" i="50"/>
  <c r="J30" i="50"/>
  <c r="J31" i="50"/>
  <c r="J32" i="50"/>
  <c r="J33" i="50"/>
  <c r="J34" i="50"/>
  <c r="J35" i="50"/>
  <c r="J36" i="50"/>
  <c r="J37" i="50"/>
  <c r="J38" i="50"/>
  <c r="J39" i="50"/>
  <c r="J40" i="50"/>
  <c r="J41" i="50"/>
  <c r="J42" i="50"/>
  <c r="J43" i="50"/>
  <c r="J44" i="50"/>
  <c r="J45" i="50"/>
  <c r="J46" i="50"/>
  <c r="J47" i="50"/>
  <c r="J48" i="50"/>
  <c r="J49" i="50"/>
  <c r="J50" i="50"/>
  <c r="J51" i="50"/>
  <c r="J52" i="50"/>
  <c r="J53" i="50"/>
  <c r="J54" i="50"/>
  <c r="J55" i="50"/>
  <c r="J56" i="50"/>
  <c r="J57" i="50"/>
  <c r="J14" i="50"/>
  <c r="G180" i="49"/>
  <c r="J180" i="49" s="1"/>
  <c r="G174" i="49"/>
  <c r="J174" i="49" s="1"/>
  <c r="G172" i="49"/>
  <c r="J172" i="49" s="1"/>
  <c r="G173" i="49"/>
  <c r="J173" i="49" s="1"/>
  <c r="J175" i="49"/>
  <c r="J176" i="49"/>
  <c r="J178" i="49"/>
  <c r="J179" i="49"/>
  <c r="J181" i="49"/>
  <c r="J182" i="49"/>
  <c r="G95" i="49"/>
  <c r="J95" i="49" s="1"/>
  <c r="G94" i="49"/>
  <c r="G96" i="49"/>
  <c r="J70" i="49"/>
  <c r="J41" i="49"/>
  <c r="J42" i="49"/>
  <c r="J43" i="49"/>
  <c r="J44" i="49"/>
  <c r="J40" i="49"/>
  <c r="J25" i="49"/>
  <c r="J26" i="49"/>
  <c r="J24" i="49"/>
  <c r="J18" i="49"/>
  <c r="J19" i="49"/>
  <c r="J21" i="49"/>
  <c r="J17" i="49"/>
  <c r="J9" i="49"/>
  <c r="J10" i="49"/>
  <c r="J12" i="49"/>
  <c r="J8" i="49"/>
  <c r="G176" i="49"/>
  <c r="G175" i="49"/>
  <c r="C136" i="52"/>
  <c r="H60" i="50"/>
  <c r="G18" i="50"/>
  <c r="C289" i="52"/>
  <c r="G41" i="50"/>
  <c r="G42" i="50"/>
  <c r="G32" i="50"/>
  <c r="G38" i="50"/>
  <c r="G37" i="50"/>
  <c r="G35" i="50"/>
  <c r="G33" i="50"/>
  <c r="G16" i="50"/>
  <c r="H24" i="49"/>
  <c r="H51" i="50"/>
  <c r="H50" i="50"/>
  <c r="J565" i="52"/>
  <c r="C138" i="52"/>
  <c r="K51" i="52"/>
  <c r="B9" i="36"/>
  <c r="B10" i="36"/>
  <c r="F12" i="36"/>
  <c r="F9" i="35"/>
  <c r="B10" i="35"/>
  <c r="C578" i="54"/>
  <c r="C570" i="54"/>
  <c r="C569" i="54"/>
  <c r="C568" i="54"/>
  <c r="C562" i="54"/>
  <c r="C553" i="54"/>
  <c r="C550" i="54"/>
  <c r="C546" i="54"/>
  <c r="C541" i="54"/>
  <c r="C542" i="54" s="1"/>
  <c r="C530" i="54"/>
  <c r="C527" i="54"/>
  <c r="C524" i="54"/>
  <c r="C520" i="54"/>
  <c r="C531" i="54" s="1"/>
  <c r="C532" i="54" s="1"/>
  <c r="C512" i="54"/>
  <c r="C503" i="54"/>
  <c r="C492" i="54"/>
  <c r="C504" i="54" s="1"/>
  <c r="C463" i="54"/>
  <c r="C458" i="54"/>
  <c r="C421" i="54"/>
  <c r="C20" i="34"/>
  <c r="C32" i="34"/>
  <c r="B39" i="34"/>
  <c r="B41" i="34"/>
  <c r="B18" i="34"/>
  <c r="B32" i="34"/>
  <c r="B31" i="34"/>
  <c r="B29" i="34"/>
  <c r="C144" i="53"/>
  <c r="C138" i="53"/>
  <c r="C129" i="53"/>
  <c r="C126" i="53"/>
  <c r="C122" i="53"/>
  <c r="C117" i="53"/>
  <c r="C118" i="53" s="1"/>
  <c r="C106" i="53"/>
  <c r="C103" i="53"/>
  <c r="C100" i="53"/>
  <c r="C96" i="53"/>
  <c r="C88" i="53"/>
  <c r="C79" i="53"/>
  <c r="C68" i="53"/>
  <c r="C39" i="53"/>
  <c r="C34" i="53"/>
  <c r="G74" i="53"/>
  <c r="G64" i="53"/>
  <c r="G37" i="53"/>
  <c r="G33" i="53"/>
  <c r="I37" i="34"/>
  <c r="B11" i="31"/>
  <c r="D413" i="54"/>
  <c r="D414" i="54" s="1"/>
  <c r="C414" i="54"/>
  <c r="D394" i="54"/>
  <c r="D395" i="54"/>
  <c r="D396" i="54"/>
  <c r="D397" i="54"/>
  <c r="D398" i="54"/>
  <c r="D399" i="54"/>
  <c r="D400" i="54"/>
  <c r="D393" i="54"/>
  <c r="C401" i="54"/>
  <c r="C402" i="54" s="1"/>
  <c r="B25" i="33" s="1"/>
  <c r="C389" i="54"/>
  <c r="C390" i="54" s="1"/>
  <c r="D387" i="54"/>
  <c r="D388" i="54"/>
  <c r="D386" i="54"/>
  <c r="D380" i="54"/>
  <c r="D379" i="54"/>
  <c r="C381" i="54"/>
  <c r="C377" i="54"/>
  <c r="D376" i="54"/>
  <c r="D375" i="54"/>
  <c r="D370" i="54"/>
  <c r="D371" i="54" s="1"/>
  <c r="C371" i="54"/>
  <c r="D367" i="54"/>
  <c r="D368" i="54" s="1"/>
  <c r="C368" i="54"/>
  <c r="C355" i="54"/>
  <c r="D354" i="54"/>
  <c r="D355" i="54" s="1"/>
  <c r="D351" i="54"/>
  <c r="D352" i="54" s="1"/>
  <c r="C352" i="54"/>
  <c r="C347" i="54"/>
  <c r="D346" i="54"/>
  <c r="D347" i="54" s="1"/>
  <c r="D343" i="54"/>
  <c r="D344" i="54" s="1"/>
  <c r="C344" i="54"/>
  <c r="C339" i="54"/>
  <c r="D337" i="54"/>
  <c r="D338" i="54"/>
  <c r="D336" i="54"/>
  <c r="D332" i="54"/>
  <c r="D333" i="54"/>
  <c r="C334" i="54"/>
  <c r="D331" i="54"/>
  <c r="C327" i="54"/>
  <c r="D325" i="54"/>
  <c r="D326" i="54"/>
  <c r="D324" i="54"/>
  <c r="C322" i="54"/>
  <c r="C328" i="54" s="1"/>
  <c r="D320" i="54"/>
  <c r="D321" i="54"/>
  <c r="D319" i="54"/>
  <c r="C314" i="54"/>
  <c r="D313" i="54"/>
  <c r="D314" i="54" s="1"/>
  <c r="D308" i="54"/>
  <c r="D309" i="54" s="1"/>
  <c r="C309" i="54"/>
  <c r="D301" i="54"/>
  <c r="D302" i="54"/>
  <c r="D300" i="54"/>
  <c r="C303" i="54"/>
  <c r="D296" i="54"/>
  <c r="D297" i="54"/>
  <c r="D295" i="54"/>
  <c r="C298" i="54"/>
  <c r="C304" i="54" s="1"/>
  <c r="D287" i="54"/>
  <c r="D288" i="54"/>
  <c r="D289" i="54"/>
  <c r="D290" i="54"/>
  <c r="D281" i="54"/>
  <c r="D282" i="54"/>
  <c r="D283" i="54"/>
  <c r="D280" i="54"/>
  <c r="C284" i="54"/>
  <c r="B7" i="39"/>
  <c r="D269" i="54"/>
  <c r="D271" i="54" s="1"/>
  <c r="B8" i="29"/>
  <c r="B19" i="27"/>
  <c r="B13" i="27"/>
  <c r="B8" i="27"/>
  <c r="D253" i="54"/>
  <c r="C271" i="54"/>
  <c r="D264" i="54"/>
  <c r="D265" i="54"/>
  <c r="D263" i="54"/>
  <c r="C267" i="54"/>
  <c r="D260" i="54"/>
  <c r="C261" i="54"/>
  <c r="D261" i="54" s="1"/>
  <c r="B10" i="25"/>
  <c r="B9" i="25"/>
  <c r="B8" i="25"/>
  <c r="B7" i="25"/>
  <c r="B15" i="24"/>
  <c r="B14" i="24"/>
  <c r="B12" i="24"/>
  <c r="B13" i="23"/>
  <c r="B12" i="23"/>
  <c r="B11" i="23"/>
  <c r="B8" i="22"/>
  <c r="D242" i="54"/>
  <c r="D243" i="54"/>
  <c r="D244" i="54"/>
  <c r="D245" i="54"/>
  <c r="D246" i="54"/>
  <c r="D247" i="54"/>
  <c r="D248" i="54"/>
  <c r="D241" i="54"/>
  <c r="D226" i="54"/>
  <c r="D227" i="54"/>
  <c r="D228" i="54"/>
  <c r="D229" i="54"/>
  <c r="D230" i="54"/>
  <c r="D231" i="54"/>
  <c r="D232" i="54"/>
  <c r="D233" i="54"/>
  <c r="D234" i="54"/>
  <c r="D235" i="54"/>
  <c r="D236" i="54"/>
  <c r="D237" i="54"/>
  <c r="D225" i="54"/>
  <c r="D220" i="54"/>
  <c r="D221" i="54"/>
  <c r="D219" i="54"/>
  <c r="C222" i="54"/>
  <c r="N216" i="54"/>
  <c r="O217" i="54" s="1"/>
  <c r="P217" i="54" s="1"/>
  <c r="N221" i="54" s="1"/>
  <c r="D215" i="54"/>
  <c r="D216" i="54"/>
  <c r="D214" i="54"/>
  <c r="C217" i="54"/>
  <c r="E50" i="20"/>
  <c r="E49" i="20"/>
  <c r="E47" i="20"/>
  <c r="E55" i="20"/>
  <c r="D55" i="20"/>
  <c r="C249" i="54"/>
  <c r="C250" i="54" s="1"/>
  <c r="E25" i="20"/>
  <c r="E24" i="20"/>
  <c r="E23" i="20"/>
  <c r="E22" i="20"/>
  <c r="E21" i="20"/>
  <c r="E20" i="20"/>
  <c r="E17" i="20"/>
  <c r="E14" i="20"/>
  <c r="E13" i="20"/>
  <c r="E12" i="20"/>
  <c r="C238" i="54"/>
  <c r="D286" i="54" l="1"/>
  <c r="B16" i="36"/>
  <c r="C145" i="53"/>
  <c r="C146" i="53" s="1"/>
  <c r="C130" i="53"/>
  <c r="C80" i="53"/>
  <c r="C554" i="54"/>
  <c r="C14" i="3"/>
  <c r="F18" i="49" s="1"/>
  <c r="D322" i="54"/>
  <c r="D377" i="54"/>
  <c r="D381" i="54"/>
  <c r="C422" i="54"/>
  <c r="C423" i="54" s="1"/>
  <c r="C316" i="54"/>
  <c r="D401" i="54"/>
  <c r="D402" i="54" s="1"/>
  <c r="D339" i="54"/>
  <c r="C372" i="54"/>
  <c r="C382" i="54"/>
  <c r="D389" i="54"/>
  <c r="D390" i="54" s="1"/>
  <c r="D348" i="54"/>
  <c r="C107" i="53"/>
  <c r="G75" i="53"/>
  <c r="C356" i="54"/>
  <c r="D372" i="54"/>
  <c r="C348" i="54"/>
  <c r="D356" i="54"/>
  <c r="D284" i="54"/>
  <c r="D334" i="54"/>
  <c r="D340" i="54" s="1"/>
  <c r="D327" i="54"/>
  <c r="C340" i="54"/>
  <c r="D316" i="54"/>
  <c r="D222" i="54"/>
  <c r="B12" i="33"/>
  <c r="D303" i="54"/>
  <c r="D238" i="54"/>
  <c r="D249" i="54"/>
  <c r="D250" i="54" s="1"/>
  <c r="D217" i="54"/>
  <c r="D291" i="54"/>
  <c r="C292" i="54"/>
  <c r="D298" i="54"/>
  <c r="D267" i="54"/>
  <c r="D272" i="54" s="1"/>
  <c r="D273" i="54" s="1"/>
  <c r="D274" i="54" s="1"/>
  <c r="C272" i="54"/>
  <c r="C273" i="54" s="1"/>
  <c r="C274" i="54" s="1"/>
  <c r="O216" i="54"/>
  <c r="P216" i="54" s="1"/>
  <c r="N220" i="54" s="1"/>
  <c r="C108" i="53" l="1"/>
  <c r="C154" i="53" s="1"/>
  <c r="D154" i="53" s="1"/>
  <c r="D304" i="54"/>
  <c r="D328" i="54"/>
  <c r="D382" i="54"/>
  <c r="C408" i="54"/>
  <c r="C424" i="54" s="1"/>
  <c r="C579" i="54" s="1"/>
  <c r="D292" i="54"/>
  <c r="K69" i="20"/>
  <c r="C212" i="54"/>
  <c r="C223" i="54" s="1"/>
  <c r="C254" i="54" s="1"/>
  <c r="C255" i="54" s="1"/>
  <c r="D201" i="54"/>
  <c r="D202" i="54"/>
  <c r="D203" i="54"/>
  <c r="D204" i="54"/>
  <c r="D205" i="54"/>
  <c r="D206" i="54"/>
  <c r="D207" i="54"/>
  <c r="D208" i="54"/>
  <c r="D209" i="54"/>
  <c r="D210" i="54"/>
  <c r="D211" i="54"/>
  <c r="D200" i="54"/>
  <c r="D12" i="19"/>
  <c r="D11" i="19"/>
  <c r="D10" i="19"/>
  <c r="H10" i="11"/>
  <c r="D408" i="54" l="1"/>
  <c r="D212" i="54"/>
  <c r="D223" i="54" s="1"/>
  <c r="D254" i="54" s="1"/>
  <c r="D255" i="54" s="1"/>
  <c r="H32" i="15" l="1"/>
  <c r="H29" i="15"/>
  <c r="H27" i="15"/>
  <c r="H20" i="15"/>
  <c r="H19" i="15"/>
  <c r="H18" i="15"/>
  <c r="D190" i="54"/>
  <c r="D191" i="54"/>
  <c r="D189" i="54"/>
  <c r="C192" i="54"/>
  <c r="D182" i="54"/>
  <c r="D183" i="54"/>
  <c r="D184" i="54"/>
  <c r="D185" i="54"/>
  <c r="D186" i="54"/>
  <c r="D181" i="54"/>
  <c r="C187" i="54"/>
  <c r="C173" i="54"/>
  <c r="D172" i="54"/>
  <c r="D171" i="54"/>
  <c r="D170" i="54"/>
  <c r="C170" i="54"/>
  <c r="D166" i="54"/>
  <c r="D165" i="54"/>
  <c r="D167" i="54" s="1"/>
  <c r="C167" i="54"/>
  <c r="D159" i="54"/>
  <c r="D160" i="54"/>
  <c r="D161" i="54"/>
  <c r="D162" i="54"/>
  <c r="D158" i="54"/>
  <c r="C163" i="54"/>
  <c r="D155" i="54"/>
  <c r="D154" i="54"/>
  <c r="D151" i="54"/>
  <c r="D150" i="54"/>
  <c r="C156" i="54"/>
  <c r="C152" i="54"/>
  <c r="D147" i="54"/>
  <c r="D146" i="54"/>
  <c r="C148" i="54"/>
  <c r="D143" i="54"/>
  <c r="D142" i="54"/>
  <c r="C144" i="54"/>
  <c r="C129" i="54"/>
  <c r="D128" i="54"/>
  <c r="D129" i="54" s="1"/>
  <c r="D125" i="54"/>
  <c r="D126" i="54" s="1"/>
  <c r="C126" i="54"/>
  <c r="C136" i="54"/>
  <c r="D132" i="54"/>
  <c r="D133" i="54"/>
  <c r="D134" i="54"/>
  <c r="D135" i="54"/>
  <c r="D131" i="54"/>
  <c r="D120" i="54"/>
  <c r="D121" i="54"/>
  <c r="D122" i="54"/>
  <c r="D119" i="54"/>
  <c r="C123" i="54"/>
  <c r="D116" i="54"/>
  <c r="D115" i="54"/>
  <c r="C117" i="54"/>
  <c r="D113" i="54"/>
  <c r="C113" i="54"/>
  <c r="C109" i="54"/>
  <c r="D108" i="54"/>
  <c r="D109" i="54" s="1"/>
  <c r="C106" i="54"/>
  <c r="D100" i="54"/>
  <c r="D101" i="54"/>
  <c r="D99" i="54"/>
  <c r="C102" i="54"/>
  <c r="D95" i="54"/>
  <c r="D96" i="54"/>
  <c r="D94" i="54"/>
  <c r="C97" i="54"/>
  <c r="C92" i="54"/>
  <c r="D90" i="54"/>
  <c r="D91" i="54"/>
  <c r="D89" i="54"/>
  <c r="D85" i="54"/>
  <c r="D86" i="54"/>
  <c r="D84" i="54"/>
  <c r="C87" i="54"/>
  <c r="C82" i="54"/>
  <c r="D79" i="54"/>
  <c r="D80" i="54"/>
  <c r="D78" i="54"/>
  <c r="C74" i="54"/>
  <c r="D69" i="54"/>
  <c r="D70" i="54"/>
  <c r="D71" i="54"/>
  <c r="D72" i="54"/>
  <c r="D73" i="54"/>
  <c r="D68" i="54"/>
  <c r="D62" i="54"/>
  <c r="D63" i="54" s="1"/>
  <c r="D56" i="54"/>
  <c r="D57" i="54"/>
  <c r="D58" i="54"/>
  <c r="D59" i="54"/>
  <c r="D55" i="54"/>
  <c r="C63" i="54"/>
  <c r="C60" i="54"/>
  <c r="N53" i="54"/>
  <c r="C53" i="54"/>
  <c r="D51" i="54"/>
  <c r="D53" i="54" s="1"/>
  <c r="F10" i="12"/>
  <c r="C49" i="54"/>
  <c r="D48" i="54"/>
  <c r="D45" i="54"/>
  <c r="D46" i="54"/>
  <c r="D47" i="54"/>
  <c r="D44" i="54"/>
  <c r="D39" i="54"/>
  <c r="D40" i="54" s="1"/>
  <c r="C40" i="54"/>
  <c r="C37" i="54"/>
  <c r="D14" i="54"/>
  <c r="D15" i="54"/>
  <c r="D16" i="54"/>
  <c r="D17" i="54"/>
  <c r="D18" i="54"/>
  <c r="D19" i="54"/>
  <c r="D20" i="54"/>
  <c r="D21" i="54"/>
  <c r="D22" i="54"/>
  <c r="D23" i="54"/>
  <c r="D24" i="54"/>
  <c r="D25" i="54"/>
  <c r="D26" i="54"/>
  <c r="D27" i="54"/>
  <c r="D28" i="54"/>
  <c r="D29" i="54"/>
  <c r="D30" i="54"/>
  <c r="D31" i="54"/>
  <c r="D32" i="54"/>
  <c r="D33" i="54"/>
  <c r="D34" i="54"/>
  <c r="D35" i="54"/>
  <c r="D36" i="54"/>
  <c r="D13" i="54"/>
  <c r="D7" i="54"/>
  <c r="D8" i="54"/>
  <c r="D9" i="54"/>
  <c r="D10" i="54"/>
  <c r="D6" i="54"/>
  <c r="C11" i="54"/>
  <c r="N13" i="54"/>
  <c r="D31" i="11"/>
  <c r="A7" i="4"/>
  <c r="A8" i="5"/>
  <c r="A10" i="3"/>
  <c r="H14" i="50"/>
  <c r="C39" i="5" s="1"/>
  <c r="G14" i="50"/>
  <c r="H16" i="50"/>
  <c r="G8" i="49" s="1"/>
  <c r="E27" i="11"/>
  <c r="G16" i="2" s="1"/>
  <c r="D9" i="11"/>
  <c r="G103" i="49"/>
  <c r="G182" i="49"/>
  <c r="F182" i="49"/>
  <c r="F180" i="49"/>
  <c r="G93" i="49"/>
  <c r="G26" i="50"/>
  <c r="G130" i="49" s="1"/>
  <c r="F129" i="49" s="1"/>
  <c r="F93" i="49"/>
  <c r="C16" i="36"/>
  <c r="I39" i="34"/>
  <c r="I33" i="34"/>
  <c r="D39" i="34"/>
  <c r="E39" i="34" s="1"/>
  <c r="B8" i="39"/>
  <c r="B11" i="39" s="1"/>
  <c r="C28" i="3" s="1"/>
  <c r="F92" i="49" s="1"/>
  <c r="B11" i="36"/>
  <c r="F11" i="36"/>
  <c r="D42" i="34"/>
  <c r="E42" i="34" s="1"/>
  <c r="C28" i="34"/>
  <c r="E28" i="34" s="1"/>
  <c r="C11" i="25"/>
  <c r="F176" i="49"/>
  <c r="K18" i="15"/>
  <c r="H19" i="11"/>
  <c r="B18" i="15"/>
  <c r="B19" i="15"/>
  <c r="B20" i="15"/>
  <c r="F20" i="15" s="1"/>
  <c r="L20" i="15" s="1"/>
  <c r="B21" i="15"/>
  <c r="B22" i="15"/>
  <c r="B23" i="15"/>
  <c r="F23" i="15" s="1"/>
  <c r="L23" i="15" s="1"/>
  <c r="B24" i="15"/>
  <c r="B25" i="15"/>
  <c r="B26" i="15"/>
  <c r="F26" i="15" s="1"/>
  <c r="L26" i="15" s="1"/>
  <c r="B27" i="15"/>
  <c r="B28" i="15"/>
  <c r="B29" i="15"/>
  <c r="F29" i="15" s="1"/>
  <c r="L29" i="15" s="1"/>
  <c r="B30" i="15"/>
  <c r="B31" i="15"/>
  <c r="B32" i="15"/>
  <c r="B33" i="15"/>
  <c r="B34" i="15"/>
  <c r="B35" i="15"/>
  <c r="B36" i="15"/>
  <c r="B37" i="15"/>
  <c r="B38" i="15"/>
  <c r="B39" i="15"/>
  <c r="B40" i="15"/>
  <c r="B17" i="15"/>
  <c r="G193" i="49"/>
  <c r="G196" i="49" s="1"/>
  <c r="C17" i="5" s="1"/>
  <c r="F193" i="49"/>
  <c r="F196" i="49" s="1"/>
  <c r="B17" i="5" s="1"/>
  <c r="C14" i="35"/>
  <c r="D21" i="3"/>
  <c r="B9" i="35"/>
  <c r="G128" i="49"/>
  <c r="G139" i="49"/>
  <c r="F10" i="36"/>
  <c r="F128" i="49" s="1"/>
  <c r="F9" i="36"/>
  <c r="F139" i="49" s="1"/>
  <c r="B15" i="36"/>
  <c r="B14" i="36"/>
  <c r="C137" i="51"/>
  <c r="B9" i="29"/>
  <c r="B20" i="27"/>
  <c r="F51" i="2" s="1"/>
  <c r="F50" i="2"/>
  <c r="F50" i="50" s="1"/>
  <c r="J33" i="4" s="1"/>
  <c r="F49" i="2"/>
  <c r="F48" i="2"/>
  <c r="F14" i="25"/>
  <c r="F15" i="25" s="1"/>
  <c r="F42" i="2" s="1"/>
  <c r="F42" i="50" s="1"/>
  <c r="F79" i="49"/>
  <c r="F55" i="49"/>
  <c r="E65" i="20"/>
  <c r="E64" i="20"/>
  <c r="B14" i="17"/>
  <c r="B13" i="17"/>
  <c r="B12" i="17"/>
  <c r="B11" i="17"/>
  <c r="B10" i="17"/>
  <c r="B9" i="17"/>
  <c r="B8" i="17"/>
  <c r="B7" i="17"/>
  <c r="B13" i="13"/>
  <c r="F14" i="12"/>
  <c r="F12" i="12"/>
  <c r="F11" i="12"/>
  <c r="B24" i="12"/>
  <c r="B23" i="12"/>
  <c r="B21" i="12"/>
  <c r="B20" i="12"/>
  <c r="B19" i="12"/>
  <c r="B18" i="12"/>
  <c r="B17" i="12"/>
  <c r="B16" i="12"/>
  <c r="B15" i="12"/>
  <c r="B14" i="12"/>
  <c r="B13" i="12"/>
  <c r="F82" i="49" s="1"/>
  <c r="B12" i="12"/>
  <c r="B22" i="12"/>
  <c r="B11" i="12"/>
  <c r="D19" i="11"/>
  <c r="D18" i="11"/>
  <c r="D10" i="11"/>
  <c r="C51" i="8"/>
  <c r="C50" i="8"/>
  <c r="C49" i="8"/>
  <c r="C45" i="8"/>
  <c r="C46" i="8"/>
  <c r="C47" i="8"/>
  <c r="C48" i="8"/>
  <c r="C44" i="8"/>
  <c r="C41" i="8"/>
  <c r="C42" i="8"/>
  <c r="C40" i="8"/>
  <c r="C36" i="8"/>
  <c r="C37" i="8"/>
  <c r="C35" i="8"/>
  <c r="C34" i="8"/>
  <c r="C31" i="8"/>
  <c r="C32" i="8"/>
  <c r="C30" i="8"/>
  <c r="C25" i="8"/>
  <c r="C26" i="8"/>
  <c r="C27" i="8"/>
  <c r="C28" i="8"/>
  <c r="C29" i="8"/>
  <c r="C24" i="8"/>
  <c r="C22" i="8"/>
  <c r="C21" i="8"/>
  <c r="C20" i="8"/>
  <c r="C18" i="8"/>
  <c r="C17" i="8"/>
  <c r="K27" i="15"/>
  <c r="I22" i="7"/>
  <c r="H20" i="7"/>
  <c r="L23" i="4"/>
  <c r="J14" i="4"/>
  <c r="J16" i="4" s="1"/>
  <c r="J25" i="4" s="1"/>
  <c r="H48" i="50"/>
  <c r="H14" i="4" s="1"/>
  <c r="H16" i="4" s="1"/>
  <c r="H25" i="4" s="1"/>
  <c r="H53" i="50"/>
  <c r="P14" i="4" s="1"/>
  <c r="P16" i="4" s="1"/>
  <c r="G17" i="50"/>
  <c r="C16" i="34"/>
  <c r="D35" i="34"/>
  <c r="I16" i="34"/>
  <c r="D16" i="34"/>
  <c r="C37" i="34"/>
  <c r="E37" i="34" s="1"/>
  <c r="C38" i="34"/>
  <c r="B38" i="34"/>
  <c r="B13" i="34"/>
  <c r="E13" i="34" s="1"/>
  <c r="I49" i="34"/>
  <c r="D49" i="34"/>
  <c r="E49" i="34" s="1"/>
  <c r="B26" i="34"/>
  <c r="E26" i="34" s="1"/>
  <c r="I48" i="34"/>
  <c r="D48" i="34"/>
  <c r="E48" i="34" s="1"/>
  <c r="I45" i="34"/>
  <c r="D45" i="34"/>
  <c r="E45" i="34" s="1"/>
  <c r="B43" i="34"/>
  <c r="C43" i="34"/>
  <c r="I42" i="34"/>
  <c r="I41" i="34"/>
  <c r="D41" i="34"/>
  <c r="E41" i="34" s="1"/>
  <c r="C36" i="34"/>
  <c r="B35" i="34"/>
  <c r="I34" i="34"/>
  <c r="D34" i="34"/>
  <c r="E34" i="34" s="1"/>
  <c r="B33" i="34"/>
  <c r="E33" i="34" s="1"/>
  <c r="I31" i="34"/>
  <c r="C31" i="34"/>
  <c r="E31" i="34" s="1"/>
  <c r="I30" i="34"/>
  <c r="C30" i="34"/>
  <c r="E30" i="34" s="1"/>
  <c r="I29" i="34"/>
  <c r="C29" i="34"/>
  <c r="E29" i="34" s="1"/>
  <c r="I28" i="34"/>
  <c r="I26" i="34"/>
  <c r="C25" i="34"/>
  <c r="B25" i="34"/>
  <c r="I24" i="34"/>
  <c r="C24" i="34"/>
  <c r="E24" i="34" s="1"/>
  <c r="C22" i="34"/>
  <c r="B22" i="34"/>
  <c r="B20" i="34"/>
  <c r="I19" i="34"/>
  <c r="I17" i="34"/>
  <c r="C17" i="34"/>
  <c r="E17" i="34" s="1"/>
  <c r="I15" i="34"/>
  <c r="I50" i="34" s="1"/>
  <c r="I52" i="34" s="1"/>
  <c r="D15" i="34"/>
  <c r="E15" i="34" s="1"/>
  <c r="C14" i="34"/>
  <c r="B14" i="34"/>
  <c r="G104" i="49"/>
  <c r="F94" i="49"/>
  <c r="H180" i="49"/>
  <c r="H173" i="49"/>
  <c r="G178" i="49" s="1"/>
  <c r="G79" i="49"/>
  <c r="F81" i="49" s="1"/>
  <c r="G53" i="50"/>
  <c r="G51" i="50"/>
  <c r="N23" i="4" s="1"/>
  <c r="G50" i="50"/>
  <c r="J20" i="4"/>
  <c r="G49" i="50"/>
  <c r="G48" i="50"/>
  <c r="G47" i="50"/>
  <c r="G163" i="49"/>
  <c r="G36" i="50"/>
  <c r="G55" i="49"/>
  <c r="F53" i="49" s="1"/>
  <c r="G157" i="49"/>
  <c r="G26" i="49"/>
  <c r="G21" i="50"/>
  <c r="G24" i="50"/>
  <c r="G137" i="49" s="1"/>
  <c r="F140" i="49" s="1"/>
  <c r="G17" i="49"/>
  <c r="F19" i="49" s="1"/>
  <c r="G81" i="49"/>
  <c r="H49" i="50"/>
  <c r="H175" i="49" s="1"/>
  <c r="H47" i="50"/>
  <c r="C14" i="4" s="1"/>
  <c r="H42" i="50"/>
  <c r="H41" i="50"/>
  <c r="G164" i="49" s="1"/>
  <c r="H35" i="50"/>
  <c r="G53" i="49" s="1"/>
  <c r="H37" i="50"/>
  <c r="H36" i="50"/>
  <c r="H33" i="50"/>
  <c r="G158" i="49" s="1"/>
  <c r="H32" i="50"/>
  <c r="G24" i="49" s="1"/>
  <c r="H26" i="50"/>
  <c r="G129" i="49" s="1"/>
  <c r="H24" i="50"/>
  <c r="G140" i="49" s="1"/>
  <c r="H18" i="50"/>
  <c r="G19" i="49" s="1"/>
  <c r="G52" i="50"/>
  <c r="A8" i="50"/>
  <c r="A7" i="50"/>
  <c r="D12" i="3"/>
  <c r="C12" i="3"/>
  <c r="G8" i="35"/>
  <c r="C8" i="37"/>
  <c r="C8" i="38" s="1"/>
  <c r="C7" i="39" s="1"/>
  <c r="C7" i="40" s="1"/>
  <c r="C7" i="41" s="1"/>
  <c r="C7" i="42" s="1"/>
  <c r="C11" i="45" s="1"/>
  <c r="C10" i="47" s="1"/>
  <c r="F8" i="35"/>
  <c r="B8" i="37"/>
  <c r="B8" i="38" s="1"/>
  <c r="B7" i="40" s="1"/>
  <c r="B7" i="41" s="1"/>
  <c r="B7" i="42" s="1"/>
  <c r="B11" i="45" s="1"/>
  <c r="B10" i="47" s="1"/>
  <c r="G8" i="36"/>
  <c r="F8" i="36"/>
  <c r="G51" i="2"/>
  <c r="G6" i="25"/>
  <c r="F6" i="25"/>
  <c r="J45" i="20"/>
  <c r="D45" i="20"/>
  <c r="E19" i="19"/>
  <c r="D19" i="19"/>
  <c r="C16" i="17"/>
  <c r="C25" i="12"/>
  <c r="G17" i="2" s="1"/>
  <c r="G10" i="12"/>
  <c r="E32" i="11"/>
  <c r="D32" i="11"/>
  <c r="A6" i="5"/>
  <c r="H5" i="4" s="1"/>
  <c r="G150" i="49"/>
  <c r="F150" i="49"/>
  <c r="G149" i="49"/>
  <c r="G152" i="49" s="1"/>
  <c r="C33" i="5" s="1"/>
  <c r="F149" i="49"/>
  <c r="F152" i="49" s="1"/>
  <c r="B33" i="5" s="1"/>
  <c r="G123" i="49"/>
  <c r="F123" i="49"/>
  <c r="G112" i="49"/>
  <c r="G114" i="49" s="1"/>
  <c r="F112" i="49"/>
  <c r="G111" i="49"/>
  <c r="F111" i="49"/>
  <c r="G35" i="49"/>
  <c r="F35" i="49"/>
  <c r="T28" i="4"/>
  <c r="T26" i="4"/>
  <c r="G55" i="2"/>
  <c r="G55" i="50"/>
  <c r="F55" i="2"/>
  <c r="F55" i="50"/>
  <c r="F52" i="2"/>
  <c r="F52" i="50"/>
  <c r="G23" i="2"/>
  <c r="G23" i="50"/>
  <c r="E27" i="34"/>
  <c r="I27" i="34"/>
  <c r="F18" i="15"/>
  <c r="L18" i="15" s="1"/>
  <c r="G38" i="2"/>
  <c r="G50" i="2"/>
  <c r="D50" i="20"/>
  <c r="D17" i="20"/>
  <c r="D47" i="20"/>
  <c r="G41" i="2"/>
  <c r="C15" i="13"/>
  <c r="G18" i="2"/>
  <c r="D54" i="11"/>
  <c r="K20" i="15"/>
  <c r="F17" i="15"/>
  <c r="L17" i="15"/>
  <c r="H22" i="7"/>
  <c r="D37" i="5"/>
  <c r="G49" i="2"/>
  <c r="G15" i="25"/>
  <c r="F28" i="15"/>
  <c r="L28" i="15"/>
  <c r="K19" i="15"/>
  <c r="K21" i="15"/>
  <c r="K22" i="15"/>
  <c r="K23" i="15"/>
  <c r="K24" i="15"/>
  <c r="K25" i="15"/>
  <c r="K26" i="15"/>
  <c r="K28" i="15"/>
  <c r="K29" i="15"/>
  <c r="K30" i="15"/>
  <c r="K31" i="15"/>
  <c r="K32" i="15"/>
  <c r="K33" i="15"/>
  <c r="K34" i="15"/>
  <c r="K35" i="15"/>
  <c r="K36" i="15"/>
  <c r="K37" i="15"/>
  <c r="K38" i="15"/>
  <c r="K39" i="15"/>
  <c r="K40" i="15"/>
  <c r="K17" i="15"/>
  <c r="G41" i="15"/>
  <c r="C41" i="15"/>
  <c r="D41" i="15"/>
  <c r="E41" i="15"/>
  <c r="H41" i="15"/>
  <c r="I41" i="15"/>
  <c r="J41" i="15"/>
  <c r="F19" i="15"/>
  <c r="L19" i="15" s="1"/>
  <c r="F21" i="15"/>
  <c r="L21" i="15"/>
  <c r="F22" i="15"/>
  <c r="L22" i="15"/>
  <c r="F24" i="15"/>
  <c r="L24" i="15"/>
  <c r="F25" i="15"/>
  <c r="L25" i="15"/>
  <c r="F27" i="15"/>
  <c r="F30" i="15"/>
  <c r="L30" i="15" s="1"/>
  <c r="F31" i="15"/>
  <c r="L31" i="15" s="1"/>
  <c r="F32" i="15"/>
  <c r="L32" i="15" s="1"/>
  <c r="F33" i="15"/>
  <c r="L33" i="15"/>
  <c r="F34" i="15"/>
  <c r="L34" i="15"/>
  <c r="F35" i="15"/>
  <c r="L35" i="15"/>
  <c r="F36" i="15"/>
  <c r="L36" i="15"/>
  <c r="F37" i="15"/>
  <c r="L37" i="15"/>
  <c r="F38" i="15"/>
  <c r="L38" i="15"/>
  <c r="F39" i="15"/>
  <c r="L39" i="15"/>
  <c r="F40" i="15"/>
  <c r="M41" i="15"/>
  <c r="T22" i="4"/>
  <c r="R16" i="4"/>
  <c r="R25" i="4"/>
  <c r="R33" i="4"/>
  <c r="F16" i="4"/>
  <c r="F25" i="4"/>
  <c r="F33" i="4"/>
  <c r="E15" i="19"/>
  <c r="G32" i="2"/>
  <c r="G52" i="2"/>
  <c r="G48" i="2"/>
  <c r="G42" i="2"/>
  <c r="C23" i="47"/>
  <c r="I18" i="34"/>
  <c r="I21" i="34"/>
  <c r="I23" i="34"/>
  <c r="I32" i="34"/>
  <c r="I36" i="34"/>
  <c r="I40" i="34"/>
  <c r="I44" i="34"/>
  <c r="I46" i="34"/>
  <c r="I47" i="34"/>
  <c r="E18" i="34"/>
  <c r="E21" i="34"/>
  <c r="E23" i="34"/>
  <c r="E32" i="34"/>
  <c r="E40" i="34"/>
  <c r="E44" i="34"/>
  <c r="E46" i="34"/>
  <c r="E47" i="34"/>
  <c r="A1" i="25"/>
  <c r="C9" i="42"/>
  <c r="C10" i="42" s="1"/>
  <c r="D33" i="3" s="1"/>
  <c r="B9" i="42"/>
  <c r="B10" i="42" s="1"/>
  <c r="C33" i="3" s="1"/>
  <c r="C12" i="41"/>
  <c r="D31" i="3"/>
  <c r="B12" i="41"/>
  <c r="C31" i="3"/>
  <c r="C15" i="40"/>
  <c r="D30" i="3"/>
  <c r="B15" i="40"/>
  <c r="C30" i="3"/>
  <c r="C11" i="39"/>
  <c r="D28" i="3" s="1"/>
  <c r="G92" i="49" s="1"/>
  <c r="C16" i="38"/>
  <c r="D26" i="3"/>
  <c r="B16" i="38"/>
  <c r="C26" i="3"/>
  <c r="C16" i="37"/>
  <c r="D24" i="3"/>
  <c r="B16" i="37"/>
  <c r="C24" i="3"/>
  <c r="C11" i="29"/>
  <c r="G53" i="2"/>
  <c r="C11" i="26"/>
  <c r="G47" i="2"/>
  <c r="B11" i="26"/>
  <c r="F47" i="2"/>
  <c r="F47" i="50"/>
  <c r="C33" i="4"/>
  <c r="C17" i="24"/>
  <c r="G37" i="2" s="1"/>
  <c r="C14" i="23"/>
  <c r="G36" i="2"/>
  <c r="C12" i="22"/>
  <c r="G35" i="2" s="1"/>
  <c r="C15" i="21"/>
  <c r="G34" i="2"/>
  <c r="G34" i="50"/>
  <c r="B15" i="21"/>
  <c r="F34" i="2"/>
  <c r="F34" i="50"/>
  <c r="J70" i="20"/>
  <c r="J69" i="20"/>
  <c r="D69" i="20"/>
  <c r="D68" i="20"/>
  <c r="J67" i="20"/>
  <c r="D67" i="20"/>
  <c r="J66" i="20"/>
  <c r="D66" i="20"/>
  <c r="J64" i="20"/>
  <c r="D64" i="20"/>
  <c r="J63" i="20"/>
  <c r="D63" i="20"/>
  <c r="J62" i="20"/>
  <c r="D62" i="20"/>
  <c r="J61" i="20"/>
  <c r="D61" i="20"/>
  <c r="J60" i="20"/>
  <c r="D60" i="20"/>
  <c r="J59" i="20"/>
  <c r="D59" i="20"/>
  <c r="J58" i="20"/>
  <c r="D58" i="20"/>
  <c r="J57" i="20"/>
  <c r="D57" i="20"/>
  <c r="J56" i="20"/>
  <c r="D56" i="20"/>
  <c r="J54" i="20"/>
  <c r="D54" i="20"/>
  <c r="D49" i="20"/>
  <c r="K41" i="20"/>
  <c r="G33" i="2" s="1"/>
  <c r="D41" i="20"/>
  <c r="D40" i="20"/>
  <c r="D39" i="20"/>
  <c r="D38" i="20"/>
  <c r="J36" i="20"/>
  <c r="D36" i="20"/>
  <c r="J35" i="20"/>
  <c r="D35" i="20"/>
  <c r="J34" i="20"/>
  <c r="D34" i="20"/>
  <c r="J33" i="20"/>
  <c r="D33" i="20"/>
  <c r="J32" i="20"/>
  <c r="D32" i="20"/>
  <c r="J31" i="20"/>
  <c r="D31" i="20"/>
  <c r="J30" i="20"/>
  <c r="D30" i="20"/>
  <c r="J29" i="20"/>
  <c r="D29" i="20"/>
  <c r="J28" i="20"/>
  <c r="D28" i="20"/>
  <c r="J27" i="20"/>
  <c r="D27" i="20"/>
  <c r="D14" i="20"/>
  <c r="D13" i="20"/>
  <c r="D12" i="20"/>
  <c r="E24" i="19"/>
  <c r="D24" i="19"/>
  <c r="C23" i="19"/>
  <c r="C22" i="19"/>
  <c r="C21" i="19"/>
  <c r="C20" i="19"/>
  <c r="C14" i="19"/>
  <c r="C11" i="18"/>
  <c r="G27" i="2"/>
  <c r="G27" i="50"/>
  <c r="B11" i="18"/>
  <c r="F27" i="2"/>
  <c r="F27" i="50"/>
  <c r="G26" i="2"/>
  <c r="C17" i="16"/>
  <c r="B17" i="16"/>
  <c r="C13" i="16"/>
  <c r="B13" i="16"/>
  <c r="C9" i="16"/>
  <c r="C19" i="16"/>
  <c r="G25" i="2"/>
  <c r="G25" i="50"/>
  <c r="B9" i="16"/>
  <c r="L18" i="14"/>
  <c r="K18" i="14"/>
  <c r="L17" i="14"/>
  <c r="K17" i="14"/>
  <c r="L16" i="14"/>
  <c r="K16" i="14"/>
  <c r="L15" i="14"/>
  <c r="K15" i="14"/>
  <c r="L14" i="14"/>
  <c r="K14" i="14"/>
  <c r="L13" i="14"/>
  <c r="K13" i="14"/>
  <c r="B8" i="14"/>
  <c r="F23" i="2"/>
  <c r="G15" i="12"/>
  <c r="G21" i="2" s="1"/>
  <c r="E54" i="11"/>
  <c r="G22" i="2"/>
  <c r="G22" i="50"/>
  <c r="F22" i="2"/>
  <c r="F22" i="50"/>
  <c r="C19" i="10"/>
  <c r="G15" i="2"/>
  <c r="B19" i="10"/>
  <c r="F15" i="2"/>
  <c r="D54" i="8"/>
  <c r="G14" i="2" s="1"/>
  <c r="G25" i="4"/>
  <c r="D25" i="4"/>
  <c r="D33" i="4"/>
  <c r="D1" i="3"/>
  <c r="T20" i="4"/>
  <c r="F23" i="50"/>
  <c r="F15" i="50"/>
  <c r="B19" i="16"/>
  <c r="F25" i="2"/>
  <c r="F25" i="50"/>
  <c r="G24" i="2"/>
  <c r="L27" i="15"/>
  <c r="D14" i="3"/>
  <c r="G18" i="49" s="1"/>
  <c r="G14" i="35"/>
  <c r="D22" i="3" s="1"/>
  <c r="I13" i="34"/>
  <c r="I38" i="34"/>
  <c r="I25" i="34"/>
  <c r="I20" i="34"/>
  <c r="C26" i="33"/>
  <c r="D13" i="3" s="1"/>
  <c r="G64" i="49"/>
  <c r="G202" i="49"/>
  <c r="C38" i="5" s="1"/>
  <c r="I43" i="34"/>
  <c r="I14" i="34"/>
  <c r="I22" i="34"/>
  <c r="I35" i="34"/>
  <c r="F50" i="34"/>
  <c r="D16" i="3" s="1"/>
  <c r="G50" i="34"/>
  <c r="D17" i="3" s="1"/>
  <c r="H50" i="34"/>
  <c r="D18" i="3" s="1"/>
  <c r="G16" i="36"/>
  <c r="D19" i="3" s="1"/>
  <c r="G41" i="49"/>
  <c r="F114" i="49" l="1"/>
  <c r="H43" i="50"/>
  <c r="I60" i="50"/>
  <c r="G43" i="49"/>
  <c r="H17" i="49"/>
  <c r="H54" i="50"/>
  <c r="H56" i="50" s="1"/>
  <c r="E252" i="51"/>
  <c r="E253" i="51" s="1"/>
  <c r="H28" i="50"/>
  <c r="J28" i="50" s="1"/>
  <c r="H19" i="50"/>
  <c r="J19" i="50" s="1"/>
  <c r="H174" i="49"/>
  <c r="H39" i="50"/>
  <c r="H45" i="50" s="1"/>
  <c r="H71" i="49"/>
  <c r="G69" i="49" s="1"/>
  <c r="C16" i="4"/>
  <c r="C25" i="4" s="1"/>
  <c r="G181" i="49"/>
  <c r="H172" i="49"/>
  <c r="G179" i="49" s="1"/>
  <c r="L14" i="4"/>
  <c r="L16" i="4" s="1"/>
  <c r="L25" i="4" s="1"/>
  <c r="G106" i="49"/>
  <c r="G43" i="50"/>
  <c r="P23" i="4"/>
  <c r="P25" i="4" s="1"/>
  <c r="G39" i="50"/>
  <c r="G54" i="50"/>
  <c r="F43" i="49"/>
  <c r="G28" i="50"/>
  <c r="G166" i="49"/>
  <c r="F164" i="49"/>
  <c r="G71" i="49"/>
  <c r="J71" i="49" s="1"/>
  <c r="G44" i="49"/>
  <c r="F104" i="49"/>
  <c r="G21" i="49"/>
  <c r="G25" i="49" s="1"/>
  <c r="G28" i="49" s="1"/>
  <c r="F24" i="49"/>
  <c r="F158" i="49"/>
  <c r="G160" i="49"/>
  <c r="G86" i="49"/>
  <c r="G142" i="49"/>
  <c r="C23" i="5" s="1"/>
  <c r="G132" i="49"/>
  <c r="C28" i="5" s="1"/>
  <c r="D19" i="34"/>
  <c r="E19" i="34" s="1"/>
  <c r="F202" i="49"/>
  <c r="B38" i="5" s="1"/>
  <c r="E35" i="34"/>
  <c r="E25" i="34"/>
  <c r="E36" i="34"/>
  <c r="E22" i="34"/>
  <c r="E16" i="34"/>
  <c r="E14" i="34"/>
  <c r="E20" i="34"/>
  <c r="D50" i="34"/>
  <c r="F40" i="49" s="1"/>
  <c r="F14" i="35"/>
  <c r="C22" i="3" s="1"/>
  <c r="E43" i="34"/>
  <c r="E38" i="34"/>
  <c r="C50" i="34"/>
  <c r="C17" i="3" s="1"/>
  <c r="B50" i="34"/>
  <c r="F41" i="49" s="1"/>
  <c r="F16" i="36"/>
  <c r="G40" i="49"/>
  <c r="G42" i="49"/>
  <c r="D15" i="3"/>
  <c r="G9" i="49"/>
  <c r="F96" i="49"/>
  <c r="E69" i="20"/>
  <c r="F163" i="49" s="1"/>
  <c r="I55" i="34"/>
  <c r="I56" i="34" s="1"/>
  <c r="I57" i="34" s="1"/>
  <c r="G54" i="49"/>
  <c r="G57" i="49" s="1"/>
  <c r="F181" i="49"/>
  <c r="G54" i="2"/>
  <c r="G56" i="2" s="1"/>
  <c r="G43" i="2"/>
  <c r="G98" i="49"/>
  <c r="G100" i="49" s="1"/>
  <c r="D192" i="54"/>
  <c r="D173" i="54"/>
  <c r="F103" i="49"/>
  <c r="D144" i="54"/>
  <c r="D187" i="54"/>
  <c r="C174" i="54"/>
  <c r="C194" i="54" s="1"/>
  <c r="D97" i="54"/>
  <c r="D102" i="54"/>
  <c r="D156" i="54"/>
  <c r="C193" i="54"/>
  <c r="G39" i="2"/>
  <c r="D11" i="54"/>
  <c r="D123" i="54"/>
  <c r="D136" i="54"/>
  <c r="D148" i="54"/>
  <c r="D152" i="54"/>
  <c r="B17" i="24"/>
  <c r="F37" i="2" s="1"/>
  <c r="F37" i="50" s="1"/>
  <c r="B14" i="35"/>
  <c r="C21" i="3" s="1"/>
  <c r="D82" i="54"/>
  <c r="D117" i="54"/>
  <c r="C137" i="54"/>
  <c r="B9" i="13" s="1"/>
  <c r="B14" i="31" s="1"/>
  <c r="B12" i="31" s="1"/>
  <c r="D163" i="54"/>
  <c r="H24" i="7"/>
  <c r="K41" i="15"/>
  <c r="L41" i="15"/>
  <c r="F41" i="15"/>
  <c r="G28" i="2"/>
  <c r="B41" i="15"/>
  <c r="F51" i="50"/>
  <c r="D37" i="54"/>
  <c r="D41" i="54" s="1"/>
  <c r="D49" i="54"/>
  <c r="C75" i="54"/>
  <c r="D15" i="19"/>
  <c r="F32" i="2" s="1"/>
  <c r="F32" i="50" s="1"/>
  <c r="D60" i="54"/>
  <c r="B16" i="17"/>
  <c r="F26" i="2" s="1"/>
  <c r="F26" i="50" s="1"/>
  <c r="C41" i="54"/>
  <c r="D92" i="54"/>
  <c r="D87" i="54"/>
  <c r="F49" i="50"/>
  <c r="B11" i="25"/>
  <c r="F38" i="2" s="1"/>
  <c r="F38" i="50" s="1"/>
  <c r="B26" i="33"/>
  <c r="F9" i="49" s="1"/>
  <c r="D74" i="54"/>
  <c r="H11" i="11"/>
  <c r="H15" i="11" s="1"/>
  <c r="F15" i="12"/>
  <c r="F21" i="2" s="1"/>
  <c r="F21" i="50" s="1"/>
  <c r="E41" i="20"/>
  <c r="F33" i="2" s="1"/>
  <c r="F33" i="50" s="1"/>
  <c r="B25" i="12"/>
  <c r="F17" i="2" s="1"/>
  <c r="F17" i="50" s="1"/>
  <c r="F98" i="49"/>
  <c r="F100" i="49" s="1"/>
  <c r="F86" i="49"/>
  <c r="G19" i="50"/>
  <c r="G10" i="49"/>
  <c r="G19" i="2"/>
  <c r="G29" i="2" s="1"/>
  <c r="I24" i="7"/>
  <c r="F48" i="50"/>
  <c r="H33" i="4" s="1"/>
  <c r="F18" i="36"/>
  <c r="D27" i="11"/>
  <c r="B12" i="22"/>
  <c r="F35" i="2" s="1"/>
  <c r="F35" i="50" s="1"/>
  <c r="B14" i="23"/>
  <c r="F36" i="2" s="1"/>
  <c r="F36" i="50" s="1"/>
  <c r="C54" i="8"/>
  <c r="F14" i="2" s="1"/>
  <c r="F14" i="50" s="1"/>
  <c r="E189" i="51" l="1"/>
  <c r="E190" i="51" s="1"/>
  <c r="J69" i="49"/>
  <c r="G56" i="50"/>
  <c r="D271" i="51"/>
  <c r="H57" i="50"/>
  <c r="H58" i="50" s="1"/>
  <c r="G73" i="49"/>
  <c r="C16" i="5" s="1"/>
  <c r="H29" i="50"/>
  <c r="J29" i="50" s="1"/>
  <c r="T14" i="4"/>
  <c r="U14" i="4" s="1"/>
  <c r="G29" i="50"/>
  <c r="G45" i="50"/>
  <c r="T23" i="4"/>
  <c r="T25" i="4"/>
  <c r="U25" i="4" s="1"/>
  <c r="C32" i="5"/>
  <c r="F106" i="49"/>
  <c r="B19" i="5" s="1"/>
  <c r="C29" i="5"/>
  <c r="F69" i="49"/>
  <c r="F166" i="49"/>
  <c r="C19" i="5"/>
  <c r="D20" i="3"/>
  <c r="D23" i="3" s="1"/>
  <c r="D25" i="3" s="1"/>
  <c r="D27" i="3" s="1"/>
  <c r="D29" i="3" s="1"/>
  <c r="D32" i="3" s="1"/>
  <c r="C19" i="3"/>
  <c r="E50" i="34"/>
  <c r="E54" i="34" s="1"/>
  <c r="C18" i="3"/>
  <c r="C16" i="3"/>
  <c r="F42" i="49"/>
  <c r="F54" i="49" s="1"/>
  <c r="F57" i="49" s="1"/>
  <c r="G46" i="49"/>
  <c r="C15" i="5" s="1"/>
  <c r="D193" i="54"/>
  <c r="E137" i="54"/>
  <c r="L42" i="15"/>
  <c r="D174" i="54"/>
  <c r="D194" i="54" s="1"/>
  <c r="G45" i="2"/>
  <c r="G57" i="2" s="1"/>
  <c r="G58" i="2" s="1"/>
  <c r="F41" i="2"/>
  <c r="F43" i="2" s="1"/>
  <c r="F64" i="49"/>
  <c r="F157" i="49"/>
  <c r="F160" i="49" s="1"/>
  <c r="B32" i="5" s="1"/>
  <c r="F44" i="49"/>
  <c r="B29" i="33"/>
  <c r="C13" i="3"/>
  <c r="C15" i="3" s="1"/>
  <c r="C138" i="54"/>
  <c r="D75" i="54"/>
  <c r="D137" i="54"/>
  <c r="E24" i="7"/>
  <c r="F26" i="49"/>
  <c r="F24" i="2"/>
  <c r="F28" i="2" s="1"/>
  <c r="F130" i="49"/>
  <c r="F132" i="49" s="1"/>
  <c r="B28" i="5" s="1"/>
  <c r="N31" i="4"/>
  <c r="N33" i="4"/>
  <c r="B15" i="13"/>
  <c r="F18" i="2" s="1"/>
  <c r="F18" i="50" s="1"/>
  <c r="L33" i="4"/>
  <c r="L29" i="4"/>
  <c r="F39" i="50"/>
  <c r="F71" i="49"/>
  <c r="H17" i="11"/>
  <c r="H21" i="11" s="1"/>
  <c r="L23" i="11" s="1"/>
  <c r="J106" i="49"/>
  <c r="F8" i="49"/>
  <c r="D195" i="52" s="1"/>
  <c r="G12" i="49"/>
  <c r="C14" i="5" s="1"/>
  <c r="D20" i="7"/>
  <c r="D24" i="7" s="1"/>
  <c r="F16" i="2"/>
  <c r="F39" i="2"/>
  <c r="G57" i="50" l="1"/>
  <c r="T16" i="4"/>
  <c r="F73" i="49"/>
  <c r="B16" i="5" s="1"/>
  <c r="D35" i="3"/>
  <c r="E52" i="34"/>
  <c r="E55" i="34"/>
  <c r="E56" i="34" s="1"/>
  <c r="C20" i="3"/>
  <c r="F46" i="49"/>
  <c r="C20" i="5"/>
  <c r="F17" i="49"/>
  <c r="F41" i="50"/>
  <c r="F43" i="50" s="1"/>
  <c r="F45" i="50" s="1"/>
  <c r="D138" i="54"/>
  <c r="D195" i="54" s="1"/>
  <c r="D275" i="54" s="1"/>
  <c r="E275" i="54" s="1"/>
  <c r="E139" i="54"/>
  <c r="C195" i="54"/>
  <c r="C275" i="54" s="1"/>
  <c r="F24" i="50"/>
  <c r="F28" i="50" s="1"/>
  <c r="F137" i="49"/>
  <c r="F142" i="49" s="1"/>
  <c r="B23" i="5" s="1"/>
  <c r="B29" i="5" s="1"/>
  <c r="N29" i="4"/>
  <c r="T29" i="4" s="1"/>
  <c r="F45" i="2"/>
  <c r="F16" i="50"/>
  <c r="F19" i="50" s="1"/>
  <c r="F10" i="49"/>
  <c r="F19" i="2"/>
  <c r="F29" i="2" s="1"/>
  <c r="B10" i="29" l="1"/>
  <c r="C580" i="54"/>
  <c r="F21" i="49"/>
  <c r="F25" i="49" s="1"/>
  <c r="F28" i="49" s="1"/>
  <c r="B15" i="5" s="1"/>
  <c r="G58" i="50"/>
  <c r="C23" i="3"/>
  <c r="C25" i="3" s="1"/>
  <c r="C27" i="3" s="1"/>
  <c r="C29" i="3" s="1"/>
  <c r="C32" i="3" s="1"/>
  <c r="C35" i="3" s="1"/>
  <c r="C37" i="3" s="1"/>
  <c r="F178" i="49"/>
  <c r="G177" i="49"/>
  <c r="J177" i="49" s="1"/>
  <c r="E195" i="54"/>
  <c r="F29" i="50"/>
  <c r="E194" i="54"/>
  <c r="F12" i="49"/>
  <c r="B14" i="5" s="1"/>
  <c r="B11" i="29" l="1"/>
  <c r="F53" i="2" s="1"/>
  <c r="F173" i="49"/>
  <c r="F177" i="49" s="1"/>
  <c r="F179" i="49"/>
  <c r="G184" i="49"/>
  <c r="J184" i="49" s="1"/>
  <c r="B20" i="5"/>
  <c r="F172" i="49" l="1"/>
  <c r="F54" i="2"/>
  <c r="F53" i="50"/>
  <c r="F184" i="49"/>
  <c r="C34" i="5"/>
  <c r="G60" i="50" l="1"/>
  <c r="P33" i="4"/>
  <c r="F56" i="2"/>
  <c r="F57" i="2" s="1"/>
  <c r="F58" i="2" s="1"/>
  <c r="F54" i="50"/>
  <c r="F56" i="50" s="1"/>
  <c r="B34" i="5"/>
  <c r="B35" i="5" s="1"/>
  <c r="B37" i="5" s="1"/>
  <c r="C35" i="5"/>
  <c r="F57" i="50" l="1"/>
  <c r="F58" i="50" s="1"/>
  <c r="F60" i="50"/>
  <c r="T33" i="4"/>
  <c r="U33" i="4" s="1"/>
  <c r="P31" i="4"/>
  <c r="T31" i="4" s="1"/>
  <c r="C37" i="5"/>
  <c r="C41" i="5" l="1"/>
  <c r="B39" i="5" l="1"/>
  <c r="B41" i="5" s="1"/>
  <c r="B42" i="5" s="1"/>
  <c r="C4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Bakertilly-Oficina</author>
  </authors>
  <commentList>
    <comment ref="H10" authorId="0" shapeId="0" xr:uid="{00000000-0006-0000-0E00-000001000000}">
      <text>
        <r>
          <rPr>
            <b/>
            <sz val="9"/>
            <color indexed="81"/>
            <rFont val="Tahoma"/>
            <family val="2"/>
          </rPr>
          <t>Bakertilly-Oficina:</t>
        </r>
        <r>
          <rPr>
            <sz val="9"/>
            <color indexed="81"/>
            <rFont val="Tahoma"/>
            <family val="2"/>
          </rPr>
          <t xml:space="preserve">
ultimos 3meses
</t>
        </r>
      </text>
    </comment>
  </commentList>
</comments>
</file>

<file path=xl/sharedStrings.xml><?xml version="1.0" encoding="utf-8"?>
<sst xmlns="http://schemas.openxmlformats.org/spreadsheetml/2006/main" count="7662" uniqueCount="2550">
  <si>
    <t>Enero</t>
  </si>
  <si>
    <t>Febrero</t>
  </si>
  <si>
    <t>Abril</t>
  </si>
  <si>
    <t>Mayo</t>
  </si>
  <si>
    <t>Junio</t>
  </si>
  <si>
    <t>Julio</t>
  </si>
  <si>
    <t>INDICE</t>
  </si>
  <si>
    <t>REF.</t>
  </si>
  <si>
    <t>Agosto</t>
  </si>
  <si>
    <t>Informacion General</t>
  </si>
  <si>
    <t>Septiembre</t>
  </si>
  <si>
    <t>Descripción de la naturaleza y del negocio de la Sociedad</t>
  </si>
  <si>
    <t>Nota 1</t>
  </si>
  <si>
    <t>Octubre</t>
  </si>
  <si>
    <t>Resumen de las principales políticas contables</t>
  </si>
  <si>
    <t>Nota 2</t>
  </si>
  <si>
    <t>Noviembre</t>
  </si>
  <si>
    <t>Balance General</t>
  </si>
  <si>
    <t>BG</t>
  </si>
  <si>
    <t>Diciembre</t>
  </si>
  <si>
    <t>Efectivo y equivalente de efectivo</t>
  </si>
  <si>
    <t>Nota 3</t>
  </si>
  <si>
    <t>Inversiones temporales</t>
  </si>
  <si>
    <t>Nota 4</t>
  </si>
  <si>
    <t>Cuentas por cobrar comerciales</t>
  </si>
  <si>
    <t>Nota 5</t>
  </si>
  <si>
    <t>Otros créditos</t>
  </si>
  <si>
    <t>Nota 6</t>
  </si>
  <si>
    <t>Inventarios</t>
  </si>
  <si>
    <t>Nota 7</t>
  </si>
  <si>
    <t>Inversión en asociadas</t>
  </si>
  <si>
    <t>Nota 8</t>
  </si>
  <si>
    <t>Propiedades, planta y equipo</t>
  </si>
  <si>
    <t>Nota 9</t>
  </si>
  <si>
    <t>Activos disponibles para la venta</t>
  </si>
  <si>
    <t>Nota 10</t>
  </si>
  <si>
    <t>Activos intangibles</t>
  </si>
  <si>
    <t>Nota 11</t>
  </si>
  <si>
    <t>Goodwill</t>
  </si>
  <si>
    <t>Nota 12</t>
  </si>
  <si>
    <t>Cuentas por pagar comerciales</t>
  </si>
  <si>
    <t>Nota 13</t>
  </si>
  <si>
    <t>Préstamos a corto plazo</t>
  </si>
  <si>
    <t>Nota 14</t>
  </si>
  <si>
    <t>Porción corriente de la deuda a largo plazo</t>
  </si>
  <si>
    <t>Nota 15</t>
  </si>
  <si>
    <t>Remuneraciones y cargas sociales a pagar</t>
  </si>
  <si>
    <t>Nota 16</t>
  </si>
  <si>
    <t>Impuestos a pagar</t>
  </si>
  <si>
    <t>Nota 17</t>
  </si>
  <si>
    <t>Provisiones</t>
  </si>
  <si>
    <t>Nota 18</t>
  </si>
  <si>
    <t>Otros pasivos corrientes</t>
  </si>
  <si>
    <t>Nota 19</t>
  </si>
  <si>
    <t>Prestamos a largo plazo</t>
  </si>
  <si>
    <t>Otros pasivos no corrientes</t>
  </si>
  <si>
    <t>Capital integrado</t>
  </si>
  <si>
    <t>Nota 20</t>
  </si>
  <si>
    <t>Reserva de revalúo</t>
  </si>
  <si>
    <t>Nota 21</t>
  </si>
  <si>
    <t>Reserva legal</t>
  </si>
  <si>
    <t>Reservas estatutarias</t>
  </si>
  <si>
    <t>Reservas facultativas</t>
  </si>
  <si>
    <t>Diferencia transitoria por conversión</t>
  </si>
  <si>
    <t>Nota 22</t>
  </si>
  <si>
    <t>Resultados acumulados</t>
  </si>
  <si>
    <t>Nota 23</t>
  </si>
  <si>
    <t>Interés minoritario</t>
  </si>
  <si>
    <t>Nota 24</t>
  </si>
  <si>
    <t xml:space="preserve">Estado de Resultados </t>
  </si>
  <si>
    <t>ER</t>
  </si>
  <si>
    <t>Ventas</t>
  </si>
  <si>
    <t>Nota 25</t>
  </si>
  <si>
    <t>Costo de ventas</t>
  </si>
  <si>
    <t>Nota 26</t>
  </si>
  <si>
    <t>Gastos de ventas</t>
  </si>
  <si>
    <t>Nota 27</t>
  </si>
  <si>
    <t>Gastos administrativos</t>
  </si>
  <si>
    <t>Otros ingresos y gastos operativos</t>
  </si>
  <si>
    <t>Nota 28</t>
  </si>
  <si>
    <t>Ingresos financieros - neto</t>
  </si>
  <si>
    <t>Nota 29</t>
  </si>
  <si>
    <t>Gastos financieros - neto</t>
  </si>
  <si>
    <t>Resultado de inversiones en asociadas</t>
  </si>
  <si>
    <t>Nota 30</t>
  </si>
  <si>
    <t>Resultado participación minoritaria</t>
  </si>
  <si>
    <t>Nota 31</t>
  </si>
  <si>
    <t>Impuesto a la renta</t>
  </si>
  <si>
    <t>Nota 32</t>
  </si>
  <si>
    <t>Resultado extraordinario neto de impuesto a la renta</t>
  </si>
  <si>
    <t>Nota 33</t>
  </si>
  <si>
    <t>Resultado sobre actividades discontinuadas neto de impuesto a la renta</t>
  </si>
  <si>
    <t>Nota 34</t>
  </si>
  <si>
    <t>Utilidad/(Pérdida) neta del año</t>
  </si>
  <si>
    <t>Nota 35</t>
  </si>
  <si>
    <t>Utilidad neta por acción ordinaria</t>
  </si>
  <si>
    <t>Estado de Evolución del Patrimonio Neto</t>
  </si>
  <si>
    <t>EVPN</t>
  </si>
  <si>
    <t>Estado de Flujos de Efectivo</t>
  </si>
  <si>
    <t>EFE</t>
  </si>
  <si>
    <t>Otras Notas de los Estados Financieros</t>
  </si>
  <si>
    <t>Activos gravados</t>
  </si>
  <si>
    <t>Nota 36</t>
  </si>
  <si>
    <t>Contingencias y compromisos</t>
  </si>
  <si>
    <t>Nota 37</t>
  </si>
  <si>
    <t>Impuesto diferido</t>
  </si>
  <si>
    <t>Nota 38</t>
  </si>
  <si>
    <t>Hechos posteriores</t>
  </si>
  <si>
    <t>Nota 39</t>
  </si>
  <si>
    <t>Saldos y transacciones con partes relacionadas</t>
  </si>
  <si>
    <t>Nota 40</t>
  </si>
  <si>
    <t>AL 31 DE MARZO DE 2021</t>
  </si>
  <si>
    <t xml:space="preserve">              </t>
  </si>
  <si>
    <t>Indice</t>
  </si>
  <si>
    <t>BALANCE GENERAL</t>
  </si>
  <si>
    <t>(En miles de guaraníes)</t>
  </si>
  <si>
    <t>Nota</t>
  </si>
  <si>
    <t>ACTIVOS</t>
  </si>
  <si>
    <t>Activos Corrientes</t>
  </si>
  <si>
    <t>Total activos corrientes</t>
  </si>
  <si>
    <t>Activos no Corrientes</t>
  </si>
  <si>
    <t xml:space="preserve">Otros créditos </t>
  </si>
  <si>
    <t>Propiedades, planta y equipo/Bienes de uso, neto</t>
  </si>
  <si>
    <t>Total activos no corrientes</t>
  </si>
  <si>
    <t>Total Activos</t>
  </si>
  <si>
    <t>PASIVOS Y PATRIMONIO NETO</t>
  </si>
  <si>
    <t>Pasivos corrientes</t>
  </si>
  <si>
    <t xml:space="preserve">Préstamos a corto plazo </t>
  </si>
  <si>
    <t>Total Pasivos Corrientes</t>
  </si>
  <si>
    <t>Pasivos no corrientes</t>
  </si>
  <si>
    <t xml:space="preserve">Préstamos a largo plazo </t>
  </si>
  <si>
    <t>Otros pasivos  no corrientes</t>
  </si>
  <si>
    <t>Total pasivos no corrientes</t>
  </si>
  <si>
    <t>Total Pasivos</t>
  </si>
  <si>
    <t>Patrimonio Neto</t>
  </si>
  <si>
    <t>Subtotal</t>
  </si>
  <si>
    <t>Total Patrimonio Neto</t>
  </si>
  <si>
    <t>Total Pasivos y Patrimonio Neto</t>
  </si>
  <si>
    <t>Las notas que se acompañan forman parte integrante de estos estados.</t>
  </si>
  <si>
    <t xml:space="preserve"> </t>
  </si>
  <si>
    <t>ESTADO DE RESULTADOS</t>
  </si>
  <si>
    <t>Comparativo con igual período del año anterior</t>
  </si>
  <si>
    <t>Utilidad bruta</t>
  </si>
  <si>
    <t xml:space="preserve">Gastos administrativos </t>
  </si>
  <si>
    <t>Otros ingresos  y gastos operativos</t>
  </si>
  <si>
    <t>Resultado operativo</t>
  </si>
  <si>
    <t>Gastos financieros -  neto</t>
  </si>
  <si>
    <t>Resultados ordinarios antes de impuesto a la renta y participación minoritaria</t>
  </si>
  <si>
    <t>Resultado ordinario antes del impuesto a la renta</t>
  </si>
  <si>
    <t>Resultado neto de actividades ordinarias</t>
  </si>
  <si>
    <t xml:space="preserve">Utilidad/(Pérdida) neta del año </t>
  </si>
  <si>
    <t>ESTADO DE EVOLUCIÓN DEL PATRIMONIO NETO</t>
  </si>
  <si>
    <t>Comparativo con igual periodo del año anterior</t>
  </si>
  <si>
    <t>Aporte de los propietarios</t>
  </si>
  <si>
    <t>Ganancias reservadas</t>
  </si>
  <si>
    <t>Capital suscripto e integrado</t>
  </si>
  <si>
    <t>Aporte para</t>
  </si>
  <si>
    <t>Primas de emisión</t>
  </si>
  <si>
    <t>Reserva de revalúo técnico</t>
  </si>
  <si>
    <t>Reserva facultativa</t>
  </si>
  <si>
    <t>Interes Minoritario</t>
  </si>
  <si>
    <t>Total</t>
  </si>
  <si>
    <t>aumento de capital</t>
  </si>
  <si>
    <t>Saldo reestructurado</t>
  </si>
  <si>
    <t>Integración del capital social</t>
  </si>
  <si>
    <t>Reducción del capital social s/Acta de Asamblea General Ordinaria N°… de fecha……..</t>
  </si>
  <si>
    <t>Revalúo de activos fijos</t>
  </si>
  <si>
    <t>Revalúo técnico</t>
  </si>
  <si>
    <t>Resultado del año</t>
  </si>
  <si>
    <t>Desafectación de la reserva de revalúo técnico</t>
  </si>
  <si>
    <t>ESTADO DE FLUJOS DE EFECTIVO (Método directo)</t>
  </si>
  <si>
    <t>FLUJO DE EFECTIVO DE ACTIVIDADES OPERATIVAS</t>
  </si>
  <si>
    <t>Cobranzas efectuadas a clientes</t>
  </si>
  <si>
    <t>Pagos efectuados a proveedores y empleados</t>
  </si>
  <si>
    <t>Efectivo generado por las operaciones</t>
  </si>
  <si>
    <t>Intereses pagados</t>
  </si>
  <si>
    <t>Otros ingresos y (egresos) - neto</t>
  </si>
  <si>
    <t>Pagos de impuesto a la renta</t>
  </si>
  <si>
    <t>Flujo neto de efectivo de actividades operativas</t>
  </si>
  <si>
    <t xml:space="preserve">FLUJO DE EFECTIVO DE ACTIVIDADES DE INVERSIÓN </t>
  </si>
  <si>
    <t>Adquisición de bienes de uso</t>
  </si>
  <si>
    <t>Adquisición de bienes Curtiembre - fideicomitida</t>
  </si>
  <si>
    <t>Ventas de activos fijos</t>
  </si>
  <si>
    <t>Ventas de bienes de uso</t>
  </si>
  <si>
    <t>Intereses cobrados sobre inversiones</t>
  </si>
  <si>
    <t>Aquisición de inversiones</t>
  </si>
  <si>
    <t>Flujo neto de efectivo de actividades de inversión</t>
  </si>
  <si>
    <t>FLUJO DE EFECTIVO DE ACTIVIDADES DE FINANCIACIÓN</t>
  </si>
  <si>
    <t>(Disminución) Incremento de préstamos</t>
  </si>
  <si>
    <t>Aportes de capital recibidos</t>
  </si>
  <si>
    <t>Dividendos pagados</t>
  </si>
  <si>
    <t>Flujo neto de efectivo de actividades de financiamiento</t>
  </si>
  <si>
    <t>(Disminución) Incremento neto de efectivo</t>
  </si>
  <si>
    <t>Efecto estimado de la diferencia de cambio sobre el saldo de efectivo</t>
  </si>
  <si>
    <t>Efectivo al principio del año</t>
  </si>
  <si>
    <t>Efectivo al final del periodo</t>
  </si>
  <si>
    <t>NOTA 1 – DESCRIPCIÓN DE LA NATURALEZA Y DEL NEGOCIO DE LA COMPAÑÍA</t>
  </si>
  <si>
    <t>Antecedentes de la sociedad: naturaleza jurídica, antecedentes sobre la constitución de la sociedad y reformas estatutarias, actividad principal y secundarias.</t>
  </si>
  <si>
    <t>NOTA 2 - RESUMEN DE LAS PRINCIPALES POLÍTICAS CONTABLES</t>
  </si>
  <si>
    <t>a.   Bases de contabilización (Según NIF Bases de preparación de los Estados Financieros)</t>
  </si>
  <si>
    <t>b.   Uso de estimaciones contables</t>
  </si>
  <si>
    <t>La preparación de los presentes estados financieros requiere que la Gerencia de la sociedad realice estimaciones y evaluaciones que afectan el monto de los activos y pasivos registrados y contingentes, como así también los ingresos y egresos registrados en el ejercicio.  Los resultados reales futuros pueden diferir de las estimaciones y evaluaciones realizadas a la fecha de preparación de los presentes estados financieros.</t>
  </si>
  <si>
    <t>c.   Moneda extranjera</t>
  </si>
  <si>
    <t>Los activos y pasivos en moneda extranjera se valúan a los tipos de cambio vigentes a la fecha de cierre del ejercicio.</t>
  </si>
  <si>
    <t>Las diferencias de cambio originadas por fluctuaciones en los tipos de cambio producidos entre las fechas de concertación de las operaciones y su liquidación o valuación al cierre del ejercicio, son reconocidas en resultados.</t>
  </si>
  <si>
    <t>Indicar moneda</t>
  </si>
  <si>
    <t>Simbología según ISO 4217</t>
  </si>
  <si>
    <t>Miles de G.</t>
  </si>
  <si>
    <t>Activos</t>
  </si>
  <si>
    <t>Pasivos</t>
  </si>
  <si>
    <t>Posición neta</t>
  </si>
  <si>
    <t>d.   Efectivo y equivalentes de efectivo</t>
  </si>
  <si>
    <t>Los ingresos y egresos son reconocidos en función de su devengamiento.</t>
  </si>
  <si>
    <t xml:space="preserve">El impuesto a la renta que se carga a los resultados del año se basa en la utilidad contable antes de este concepto, ajustada por las partidas que la ley incluye o excluye para la determinación de la utilidad gravable a la que se aplica la tasa legal vigente del impuesto y por el reconocimiento del cargo o el ingreso originado por la aplicación del impuesto diferido, si los hubiere. </t>
  </si>
  <si>
    <t>Obs.: Cambios en políticas contables y su efecto sobre los estados financieros, como así también las modificaciones o ajustes de la información de ejercicios anteriores deben exponerse conforme a lo requerido por la Norma de Información Financiera N° 6 Utilidad o pérdida neta por el período, errores fundamentales y cambios en políticas contables</t>
  </si>
  <si>
    <t>Obs.: Revelar situación en el caso de contar con disponibilidad restringida</t>
  </si>
  <si>
    <t>NOTA 3 - EFECTIVO Y EQUIVALENTE DE EFECTIVO</t>
  </si>
  <si>
    <t>En miles de guaranies</t>
  </si>
  <si>
    <t>La composición de la cuenta es la siguiente:</t>
  </si>
  <si>
    <t>Concepto</t>
  </si>
  <si>
    <t>Caja</t>
  </si>
  <si>
    <t>Recaudaciones a depositar</t>
  </si>
  <si>
    <t>Bancos Locales - Moneda local Guaraníes</t>
  </si>
  <si>
    <t>Bancos Locales - Moneda extranjera Dólares</t>
  </si>
  <si>
    <t>(nuevas cuentas a incluir)</t>
  </si>
  <si>
    <t>NOTA 4 - INVERSIONES TEMPORALES</t>
  </si>
  <si>
    <t>Inversiones en Titulos del Sistema Financiero Local - Moneda Local Guaraníes</t>
  </si>
  <si>
    <t>Inversiones en Titulos del Sistema Financiero Local - Moneda Extranjera Dólares</t>
  </si>
  <si>
    <t>Inversiones en Titulos del Sistema Financiero Local - Moneda Extranjera otros</t>
  </si>
  <si>
    <t>Inversiones en Mercado Bursatil Local - Moneda Local Guaraníes</t>
  </si>
  <si>
    <t>Inversiones en Mercado Bursatil Local - Moneda Extranjera Dólares</t>
  </si>
  <si>
    <t>Inversiones en Mercado Bursatil Extranjera - Moneda Extranjera Dólares</t>
  </si>
  <si>
    <t>Inversiones en Mercado Bursatil Extranjera - Moneda Extranjera otros</t>
  </si>
  <si>
    <t>Otras inversiones - Moneda Local Guaraníes</t>
  </si>
  <si>
    <t>Otras inversiones - Moneda Extranjera Dólares</t>
  </si>
  <si>
    <t>Detallar cartera vencida y no vencida por clientes locales, extranjeros y partes relacionadas</t>
  </si>
  <si>
    <t>Se indicarán en este rubro todos los créditos a favor de la empresa provenientes de las  ventas de Mercaderías y/o servicios (atendiendo a la actividades ordinarias de  la empresa), separando las ventas locales en moneda nacional y/o extranjera de las ventas fuera del país en moneda nacional  y/o extranjera</t>
  </si>
  <si>
    <t>NOTA  5 – CUENTAS POR COBRAR COMERCIALES</t>
  </si>
  <si>
    <t>Las cuentas a cobrar comerciales a corto plazo se integran como sigue:</t>
  </si>
  <si>
    <t>Composición de la cartera de créditos por ventas</t>
  </si>
  <si>
    <t>Deudores por ventas locales</t>
  </si>
  <si>
    <t>Moneda Local Guaraníes</t>
  </si>
  <si>
    <t>Situación</t>
  </si>
  <si>
    <t>Monto</t>
  </si>
  <si>
    <t xml:space="preserve">% Previsiones  sobre Cartera </t>
  </si>
  <si>
    <t>Moneda Extranjera Dólares</t>
  </si>
  <si>
    <t>A  Total Cartera no Vencida</t>
  </si>
  <si>
    <t>Moneda Extranjera otros</t>
  </si>
  <si>
    <t>B. Total Cartera Vencida</t>
  </si>
  <si>
    <t>Deudores por ventas en el exterior</t>
  </si>
  <si>
    <t>Composición Cartera Vencida</t>
  </si>
  <si>
    <t>Normal</t>
  </si>
  <si>
    <t>En Gestión de Cobro</t>
  </si>
  <si>
    <t>Deudores - Entidad relacionada</t>
  </si>
  <si>
    <t>En Gestión de Cobro Judicial</t>
  </si>
  <si>
    <t>Total de la cartera de créditos (A+B)</t>
  </si>
  <si>
    <t>Cheques adelantados recibidos de clientes</t>
  </si>
  <si>
    <t>(-) Total Previsiones</t>
  </si>
  <si>
    <t>Cheques rechazados</t>
  </si>
  <si>
    <t>TOTAL  NETO DE LA CARTERA DE CRÉDITOS</t>
  </si>
  <si>
    <t>Otros</t>
  </si>
  <si>
    <t>Observaciones</t>
  </si>
  <si>
    <t>Criterios de Clasificación utilizados</t>
  </si>
  <si>
    <t>De</t>
  </si>
  <si>
    <t>A</t>
  </si>
  <si>
    <t>Menos Previsiones</t>
  </si>
  <si>
    <t>Las cuentas a cobrar comerciales a largo plazo se integran como sigue:</t>
  </si>
  <si>
    <t>Deudores en gestión judicial</t>
  </si>
  <si>
    <t>NOTA 6 - OTROS CRÉDITOS</t>
  </si>
  <si>
    <t>El rubro de otros créditos se compone como sigue:</t>
  </si>
  <si>
    <t>Corrientes</t>
  </si>
  <si>
    <t>No corrientes</t>
  </si>
  <si>
    <t>Garantía de Alquiler</t>
  </si>
  <si>
    <t>Gastos pagados por adelantado</t>
  </si>
  <si>
    <t>Anticipo Impuesto a la Renta</t>
  </si>
  <si>
    <t>Retención Impuesto a la Renta</t>
  </si>
  <si>
    <t>NOTA 7 – INVENTARIOS</t>
  </si>
  <si>
    <t>Los bienes de cambio están compuestos de la siguiente manera:</t>
  </si>
  <si>
    <t>Mercaderías</t>
  </si>
  <si>
    <t>Productos terminados</t>
  </si>
  <si>
    <t>Productos en proceso</t>
  </si>
  <si>
    <t>Materia prima</t>
  </si>
  <si>
    <t>(-) Previsión para desvalorización y deterioro de inventario</t>
  </si>
  <si>
    <t xml:space="preserve">Total </t>
  </si>
  <si>
    <t>Nota 8 - INVERSIONES EN ASOCIADAS</t>
  </si>
  <si>
    <t>Las inversiones en sociedades donde no se ejerce control se describen a continuación</t>
  </si>
  <si>
    <t>Periodo</t>
  </si>
  <si>
    <t>Total Inversión</t>
  </si>
  <si>
    <t>&lt;-- Indicar Monto</t>
  </si>
  <si>
    <t>a) Datos sobre la sociedad:</t>
  </si>
  <si>
    <t>a) Datos sobre la inversión:</t>
  </si>
  <si>
    <t>Nombre de Sociedad</t>
  </si>
  <si>
    <t>RUC</t>
  </si>
  <si>
    <t>Cantidad de acciones</t>
  </si>
  <si>
    <t>Total Patrimonio neto</t>
  </si>
  <si>
    <t>Total del resultado</t>
  </si>
  <si>
    <t>Participación sobre los votos (%)</t>
  </si>
  <si>
    <t>Total Inversión (miles de Gs)</t>
  </si>
  <si>
    <t>Participación sobre el Patrimonio Neto (%)</t>
  </si>
  <si>
    <t>Total valuación patrimonial proporcional</t>
  </si>
  <si>
    <t>Resultado sobre inversiones</t>
  </si>
  <si>
    <t>Obs.:</t>
  </si>
  <si>
    <t>Incluir aclaraciones en los siguientes casos:</t>
  </si>
  <si>
    <t>1.      Cuando los bienes de uso tienen alguna restricción sobre su utilización, como por ejemplo cuando están garantizando obligaciones. En su caso también hacer referencia a la nota correspondiente.</t>
  </si>
  <si>
    <t>2.      Cuando exista alguna previsión por desvalorización (“deterioro”), detallando la evolución de la misma en el transcurso del año.</t>
  </si>
  <si>
    <t>3.      Si se están capitalizando intereses al costo de bienes de uso. En su caso deberá aclararse la tasa utilizada para la capitalización.</t>
  </si>
  <si>
    <t>Ver adicionalmente Norma de Información Financiera N° 11 Propiedades, planta y equipo</t>
  </si>
  <si>
    <t>NOTA 9 - PROPIEDADES, PLANTA Y EQUIPO - NETO</t>
  </si>
  <si>
    <t>Costo histórico revaluado al inicio del año</t>
  </si>
  <si>
    <t>Adquisiciones</t>
  </si>
  <si>
    <t>Bajas</t>
  </si>
  <si>
    <t>Revalúo del año</t>
  </si>
  <si>
    <t>Valor de origen revaluado al final del año</t>
  </si>
  <si>
    <t>Depreciación acumulada revaluada al inicio del año</t>
  </si>
  <si>
    <t>Depreciación del año</t>
  </si>
  <si>
    <t>Bajas de depreciaciones acumuladas</t>
  </si>
  <si>
    <t>Revalúo depreciación acumulada del año</t>
  </si>
  <si>
    <t>Depreciación acumulada revaluada al final del año</t>
  </si>
  <si>
    <t>Valor neto contable</t>
  </si>
  <si>
    <t>Instalaciones</t>
  </si>
  <si>
    <t>Rodados</t>
  </si>
  <si>
    <t>Equipos de comunicación</t>
  </si>
  <si>
    <t>Maquinarias y herramientas</t>
  </si>
  <si>
    <t>Obras en curso</t>
  </si>
  <si>
    <t>Totales</t>
  </si>
  <si>
    <t>NOTA 10 – ACTIVOS DISPONIBLES PARA LA VENTA</t>
  </si>
  <si>
    <t>Propiedad, planta y equipo</t>
  </si>
  <si>
    <t>(Detallar bienes de uso)</t>
  </si>
  <si>
    <t>(Detallar activos intangibles)</t>
  </si>
  <si>
    <t>Inversiones</t>
  </si>
  <si>
    <t>(Detallar Inversiones</t>
  </si>
  <si>
    <t>Total general</t>
  </si>
  <si>
    <t>NOTA 11 – ACTIVOS INTANGIBLES</t>
  </si>
  <si>
    <t>NOTA 12 – GOODWILL</t>
  </si>
  <si>
    <t>NOTA 13 – CUENTAS POR PAGAR COMERCIALES</t>
  </si>
  <si>
    <t>Las cuentas por pagar comerciales se componen como sigue:</t>
  </si>
  <si>
    <t>Indicación de Moneda</t>
  </si>
  <si>
    <t>Proveedores - Entidades Relacionadas</t>
  </si>
  <si>
    <t>Otros proveedores del exterior</t>
  </si>
  <si>
    <t>Proveedores locales</t>
  </si>
  <si>
    <t>Total cuentas a pagar por comerciales</t>
  </si>
  <si>
    <t>No Corrientes</t>
  </si>
  <si>
    <t>NOTA 14 –  PRESTAMOS A CORTO Y LARGO PLAZO</t>
  </si>
  <si>
    <t>(a) Equivalentes al tipo de cambio referencial de la fecha de presentacion</t>
  </si>
  <si>
    <t>(b) Obligaciones garantizadas por valor de guaraníes………..</t>
  </si>
  <si>
    <t>Préstamos de Entidades Locales</t>
  </si>
  <si>
    <t>Vencimiento</t>
  </si>
  <si>
    <t>Símbolo de Moneda</t>
  </si>
  <si>
    <t>Moneda</t>
  </si>
  <si>
    <t>Tipo de Garantía</t>
  </si>
  <si>
    <t>Nombre de la entidad financiera</t>
  </si>
  <si>
    <t>(incluir otras entidades)</t>
  </si>
  <si>
    <t>Deudas bursátiles</t>
  </si>
  <si>
    <t>(Incluir programas de forma individual)</t>
  </si>
  <si>
    <t>Préstamos de Entidades en el Exterior</t>
  </si>
  <si>
    <t>Intereses préstamos entidades financieras a pagar</t>
  </si>
  <si>
    <t>Intereses a pagar</t>
  </si>
  <si>
    <t>(-) Intereses a Devengar</t>
  </si>
  <si>
    <t>Intereses deudas bursátiles a pagar</t>
  </si>
  <si>
    <t>Tipo de garantía</t>
  </si>
  <si>
    <t>NOTA 15 – PORCION CORRIENTE DE LA DEUDA A LARGO PLAZO</t>
  </si>
  <si>
    <t>Préstamos bancarios</t>
  </si>
  <si>
    <t>Bonos bursátiles</t>
  </si>
  <si>
    <t>Intereses bancarios a pagar</t>
  </si>
  <si>
    <t>Intereses bursatiles a pagar</t>
  </si>
  <si>
    <t>NOTA 16 – REMUNERACIONES Y CARGAS SOCIALES A PAGAR</t>
  </si>
  <si>
    <t>Sueldo y otras remuneraciones a pagar</t>
  </si>
  <si>
    <t>Aportes y retenciones a pagar</t>
  </si>
  <si>
    <t>Remuneraciones al personal superior a pagar</t>
  </si>
  <si>
    <t>NOTA 17 –  IMPUESTOS A PAGAR</t>
  </si>
  <si>
    <t>Impuesto a la renta a pagar</t>
  </si>
  <si>
    <t>Otros impuestos a pagar</t>
  </si>
  <si>
    <t>NOTA 18 -  PROVISIONES</t>
  </si>
  <si>
    <t>Alquileres a Pagar</t>
  </si>
  <si>
    <t>Servicios Basicos a Pagar</t>
  </si>
  <si>
    <t>Honorarios Profesionales a Pagar</t>
  </si>
  <si>
    <t>NOTA 19 – OTROS PASIVOS CORRIENTES y NO CORRIENTES</t>
  </si>
  <si>
    <t>Retencion de IVA a pagar</t>
  </si>
  <si>
    <t>Retencion Impuesto a la renta a Pagar</t>
  </si>
  <si>
    <t>Impuestos diferidos</t>
  </si>
  <si>
    <t>Otros ingresos diferidos (detallar cuenta)</t>
  </si>
  <si>
    <t>Otros ingresos diferidos</t>
  </si>
  <si>
    <t xml:space="preserve">Otros Pasivos con Entidades relacionadas </t>
  </si>
  <si>
    <t>Previsiones para contingencias/Indemnizaciones y despidos</t>
  </si>
  <si>
    <t>NOTA 20 – CAPITAL INTEGRADO</t>
  </si>
  <si>
    <t>Fecha</t>
  </si>
  <si>
    <t>Monto Capital Social</t>
  </si>
  <si>
    <t>Monto Capital Integrado</t>
  </si>
  <si>
    <t>Cantidad de Acciones</t>
  </si>
  <si>
    <t>Valor Nominal de Acciones</t>
  </si>
  <si>
    <t>NOTA 21 – RESERVAS</t>
  </si>
  <si>
    <t>a  Reserva de revalúo</t>
  </si>
  <si>
    <t>b Reserva legal</t>
  </si>
  <si>
    <t>NOTA 23 –  RESULTADOS ACUMULADOS</t>
  </si>
  <si>
    <t>Resultado de ejercicios anteriores</t>
  </si>
  <si>
    <t>Resultado del ejercicio actual</t>
  </si>
  <si>
    <t>NOTA 24 –  INTERES MINORITARIO</t>
  </si>
  <si>
    <t>NOTA 25 –  VENTAS</t>
  </si>
  <si>
    <t>Ventas linea de negocio 1</t>
  </si>
  <si>
    <t>Local</t>
  </si>
  <si>
    <t>Contado</t>
  </si>
  <si>
    <t>Crédito</t>
  </si>
  <si>
    <t>Exterior</t>
  </si>
  <si>
    <t>Ventas linea de negocio 2</t>
  </si>
  <si>
    <t>(nuevas lineas de negocio a incluir)</t>
  </si>
  <si>
    <t>NOTA 26 - COSTO DE VENTAS</t>
  </si>
  <si>
    <t>Linea de negocio 1</t>
  </si>
  <si>
    <t>Existencia inicial del inventario</t>
  </si>
  <si>
    <t>+ Compra de bienes y servicios</t>
  </si>
  <si>
    <t>+ Costo de producción</t>
  </si>
  <si>
    <t>- Existencia final de inventario</t>
  </si>
  <si>
    <t>Linea de negocio 2</t>
  </si>
  <si>
    <t>Total costo de ventas</t>
  </si>
  <si>
    <t>NOTA 27 - GASTOS</t>
  </si>
  <si>
    <t xml:space="preserve">(Esta nota deberá ser incluida cuando en el estado de resultados se haga mención a una cuenta de carácter general o cuyo nombre no permita una adecuada identificación de la naturaleza del gasto y su importe sea significativo) </t>
  </si>
  <si>
    <t xml:space="preserve">El rubro está compuesto de la siguiente forma: </t>
  </si>
  <si>
    <t>Gastos de Ventas</t>
  </si>
  <si>
    <t>Gastos Administrativos</t>
  </si>
  <si>
    <t>Movilidad y viáticos</t>
  </si>
  <si>
    <t>Gastos por servicios</t>
  </si>
  <si>
    <t>Honorarios profesionales y asesoramiento</t>
  </si>
  <si>
    <t>Impuestos y tasas</t>
  </si>
  <si>
    <t>Gastos de reparación y mantenimiento</t>
  </si>
  <si>
    <t>Gastos del personal y capacitación</t>
  </si>
  <si>
    <t>Seguros pagados</t>
  </si>
  <si>
    <t>Otros gastos de operación</t>
  </si>
  <si>
    <t>Remuneraciones de administradores, directores, síndicos y consejo de vigilancia</t>
  </si>
  <si>
    <t>Sueldos y Jornales</t>
  </si>
  <si>
    <t>Regalías y Honorarios por servicios técnicos</t>
  </si>
  <si>
    <t>Gastos de Publicidad y Propaganda</t>
  </si>
  <si>
    <t>Intereses, multas y recargos impositivos</t>
  </si>
  <si>
    <t>Intereses a bancos e instituciones financieras</t>
  </si>
  <si>
    <t>Amortización activos intangibles</t>
  </si>
  <si>
    <t>Previsiones</t>
  </si>
  <si>
    <t>Nota 28 - Otros Ingresos y gastos operativos</t>
  </si>
  <si>
    <t>Otros ingresos</t>
  </si>
  <si>
    <t>Otros gastos</t>
  </si>
  <si>
    <t>(Detallar cuenta)</t>
  </si>
  <si>
    <t>NOTA 29 - INGRESOS Y GASTOS FINANCIEROS NETOS</t>
  </si>
  <si>
    <t>Ingresos Financieros netos</t>
  </si>
  <si>
    <t>Gastos Financieros netos</t>
  </si>
  <si>
    <t>Total ingresos financieros</t>
  </si>
  <si>
    <t>Total gastos financieros</t>
  </si>
  <si>
    <t>Nota 31 - Resultado participación minoritaria</t>
  </si>
  <si>
    <t>Nota 32 - IMPUESTO A LA RENTA</t>
  </si>
  <si>
    <t>Nota 33 - Resultado extraordinario neto de impuesto a la renta</t>
  </si>
  <si>
    <t>Conceptos</t>
  </si>
  <si>
    <t>(Detallar)</t>
  </si>
  <si>
    <t>Nota 34 - Resultado sobre actividades discontinuadas neto de impuesto a la renta</t>
  </si>
  <si>
    <t>(nueva cuenta a incluir)</t>
  </si>
  <si>
    <t>- Impuesto a la renta</t>
  </si>
  <si>
    <t>NOTA 35- UTILIDAD (PÉRDIDA) NETA DEL AÑO Y POR ACCION ORDINARIA</t>
  </si>
  <si>
    <t>La Sociedad calcula la utilidad (pérdida) neta por acción sobre la base de la utilidad (pérdida) del año y … acciones ordinarias (aclarar las características de las acciones) de valor nominal G/ …cada una con derecho a … voto por acción (aclarar el derecho de voto que tiene cada tipo de acción).</t>
  </si>
  <si>
    <t>Cantidad de Acciones Ordinarias en Circulación</t>
  </si>
  <si>
    <t>Utilidad Neta</t>
  </si>
  <si>
    <t>Utilidad Neta por Acción Ordinaria</t>
  </si>
  <si>
    <t>NOTA 36 - ACTIVOS GRAVADOS</t>
  </si>
  <si>
    <t>Los siguientes bienes de propiedad de la Sociedad han sido hipotecados y prendados en garantía de obligaciones financieras.</t>
  </si>
  <si>
    <t>Tipo de Activo</t>
  </si>
  <si>
    <t>Datos  del activo gravado</t>
  </si>
  <si>
    <t>Importe (indicar   moneda)</t>
  </si>
  <si>
    <t>A favor de</t>
  </si>
  <si>
    <t xml:space="preserve">NOTA 37 - CONTINGENCIAS Y COMPROMISOS </t>
  </si>
  <si>
    <t xml:space="preserve">(Esta nota debería incluir un breve detalle de contratos con terceros, vigente a la fecha de cierre del ejercicio, cuyo incumplimiento o cláusula específica podrían generar obligaciones contingentes para el cliente). </t>
  </si>
  <si>
    <t>a)</t>
  </si>
  <si>
    <t>b)</t>
  </si>
  <si>
    <t>Índice</t>
  </si>
  <si>
    <t>NOTA 38 - IMPUESTO DIFERIDO</t>
  </si>
  <si>
    <t>La Sociedad contabiliza el impuesto a la renta por el método de lo diferido, método del pasivo. El mencionado método establece la determinación de activos o pasivos impositivos diferidos netos basados en las diferencias temporales y temporarias, con cargo a la línea Impuesto a la renta del Estado de resultados.</t>
  </si>
  <si>
    <t>El siguiente cuadro detalla las diferencias temporales a la tasa del impuesto a los efectos de determinación del impuesto diferido:</t>
  </si>
  <si>
    <t xml:space="preserve">Activos y pasivos impositivos diferidos: </t>
  </si>
  <si>
    <t>Caja y Bancos</t>
  </si>
  <si>
    <t>Previsión para deudores incobrables</t>
  </si>
  <si>
    <t>Bienes de uso</t>
  </si>
  <si>
    <t>Previsión del pasivo</t>
  </si>
  <si>
    <t>Deudas comerciales y bancarias</t>
  </si>
  <si>
    <t>Bienes de cambio</t>
  </si>
  <si>
    <t xml:space="preserve">Sub - total  </t>
  </si>
  <si>
    <t xml:space="preserve">Previsión para impuestos diferidos netos </t>
  </si>
  <si>
    <t>Total activo/pasivo impositivo diferido neto antes de quebrantos</t>
  </si>
  <si>
    <t>Quebranto impositivo</t>
  </si>
  <si>
    <t>NOTA 39 - HECHOS POSTERIORES</t>
  </si>
  <si>
    <t>(En caso en que entre la fecha del cierre del ejercicio y la fecha de emisión de los estados financieros existan hechos posteriores significativos deberá evaluarse el tipo de hecho posterior del que se trate y modificar esta nota según corresponda).</t>
  </si>
  <si>
    <t>NOTA 40 - SALDOS Y TRANSACCIONES CON PARTES RELACIONADAS</t>
  </si>
  <si>
    <t>ACTIVO</t>
  </si>
  <si>
    <t>Cuentas a cobrar comerciales</t>
  </si>
  <si>
    <t>Total activo</t>
  </si>
  <si>
    <t>PASIVO</t>
  </si>
  <si>
    <t>Préstamos a largo plazo</t>
  </si>
  <si>
    <t>Otros pasivos</t>
  </si>
  <si>
    <t>Total pasivo</t>
  </si>
  <si>
    <t>Compras a ….</t>
  </si>
  <si>
    <t>Honorarios por servicios</t>
  </si>
  <si>
    <t xml:space="preserve">Otros </t>
  </si>
  <si>
    <t xml:space="preserve">Gastos financieros </t>
  </si>
  <si>
    <t>Intereses pagados por préstamos</t>
  </si>
  <si>
    <t>PYG</t>
  </si>
  <si>
    <t>Guaraní</t>
  </si>
  <si>
    <t>USD</t>
  </si>
  <si>
    <t>Dólar estadounidense</t>
  </si>
  <si>
    <t>EUR</t>
  </si>
  <si>
    <t>Euro</t>
  </si>
  <si>
    <t>AED</t>
  </si>
  <si>
    <t>Dírham de los Emiratos Árabes Unidos</t>
  </si>
  <si>
    <t>AFN</t>
  </si>
  <si>
    <t>Afgani</t>
  </si>
  <si>
    <t>ALL</t>
  </si>
  <si>
    <t>Lek</t>
  </si>
  <si>
    <t>AMD</t>
  </si>
  <si>
    <t>Dram armenio</t>
  </si>
  <si>
    <t>ANG</t>
  </si>
  <si>
    <t>Florín antillano neerlandés</t>
  </si>
  <si>
    <t>AOA</t>
  </si>
  <si>
    <t>Kwanza</t>
  </si>
  <si>
    <t>ARS</t>
  </si>
  <si>
    <t>Peso argentino</t>
  </si>
  <si>
    <t>AUD</t>
  </si>
  <si>
    <t>Dólar australiano</t>
  </si>
  <si>
    <t>AWG</t>
  </si>
  <si>
    <t>Florín arubeño</t>
  </si>
  <si>
    <t>AZN</t>
  </si>
  <si>
    <t>Manat azerbaiyano</t>
  </si>
  <si>
    <t>BAM</t>
  </si>
  <si>
    <t>Marco convertible</t>
  </si>
  <si>
    <t>BBD</t>
  </si>
  <si>
    <t>Dólar de Barbados</t>
  </si>
  <si>
    <t>BDT</t>
  </si>
  <si>
    <t>Taka</t>
  </si>
  <si>
    <t>BGN</t>
  </si>
  <si>
    <t>Lev búlgaro</t>
  </si>
  <si>
    <t>BHD</t>
  </si>
  <si>
    <t>Dinar bareiní</t>
  </si>
  <si>
    <t>BIF</t>
  </si>
  <si>
    <t>Franco de Burundi</t>
  </si>
  <si>
    <t>BMD</t>
  </si>
  <si>
    <t>Dólar bermudeño</t>
  </si>
  <si>
    <t>BND</t>
  </si>
  <si>
    <t>Dólar de Brunéi</t>
  </si>
  <si>
    <t>BOB</t>
  </si>
  <si>
    <t>Boliviano</t>
  </si>
  <si>
    <t>BOV</t>
  </si>
  <si>
    <t>MVDOL</t>
  </si>
  <si>
    <t>BRL</t>
  </si>
  <si>
    <t>Real brasileño</t>
  </si>
  <si>
    <t>BSD</t>
  </si>
  <si>
    <t>Dólar bahameño</t>
  </si>
  <si>
    <t>BTN</t>
  </si>
  <si>
    <t>Ngultrum</t>
  </si>
  <si>
    <t>BWP</t>
  </si>
  <si>
    <t>Pula</t>
  </si>
  <si>
    <t>BYN</t>
  </si>
  <si>
    <t>Rublo bielorruso</t>
  </si>
  <si>
    <t>BZD</t>
  </si>
  <si>
    <t>Dólar beliceño</t>
  </si>
  <si>
    <t>CAD</t>
  </si>
  <si>
    <t>Dólar canadiense</t>
  </si>
  <si>
    <t>CDF</t>
  </si>
  <si>
    <t>Franco congoleño</t>
  </si>
  <si>
    <t>CHE</t>
  </si>
  <si>
    <t>Euro WIR</t>
  </si>
  <si>
    <t>CHF</t>
  </si>
  <si>
    <t>Franco suizo</t>
  </si>
  <si>
    <t>CHW</t>
  </si>
  <si>
    <t>Franco WIR</t>
  </si>
  <si>
    <t>CLF</t>
  </si>
  <si>
    <t>Unidad de fomento</t>
  </si>
  <si>
    <t>CLP</t>
  </si>
  <si>
    <t>Peso chileno</t>
  </si>
  <si>
    <t>CNY</t>
  </si>
  <si>
    <t>Yuan chino</t>
  </si>
  <si>
    <t>COP</t>
  </si>
  <si>
    <t>Peso colombiano</t>
  </si>
  <si>
    <t>COU</t>
  </si>
  <si>
    <t>Unidad de valor real</t>
  </si>
  <si>
    <t>CRC</t>
  </si>
  <si>
    <t>Colón costarricense</t>
  </si>
  <si>
    <t>CUC</t>
  </si>
  <si>
    <t>Peso convertible</t>
  </si>
  <si>
    <t>CUP</t>
  </si>
  <si>
    <t>Peso cubano</t>
  </si>
  <si>
    <t>CVE</t>
  </si>
  <si>
    <t>Escudo caboverdiano</t>
  </si>
  <si>
    <t>CZK</t>
  </si>
  <si>
    <t>Corona checa</t>
  </si>
  <si>
    <t>DJF</t>
  </si>
  <si>
    <t>Franco yibutiano</t>
  </si>
  <si>
    <t>DKK</t>
  </si>
  <si>
    <t>Corona danesa</t>
  </si>
  <si>
    <t>DOP</t>
  </si>
  <si>
    <t>Peso dominicano</t>
  </si>
  <si>
    <t>DZD</t>
  </si>
  <si>
    <t>Dinar argelino</t>
  </si>
  <si>
    <t>EGP</t>
  </si>
  <si>
    <t>Libra egipcia</t>
  </si>
  <si>
    <t>ERN</t>
  </si>
  <si>
    <t>Nakfa</t>
  </si>
  <si>
    <t>ETB</t>
  </si>
  <si>
    <t>Birr etíope</t>
  </si>
  <si>
    <t>FJD</t>
  </si>
  <si>
    <t>Dólar fiyiano</t>
  </si>
  <si>
    <t>FKP</t>
  </si>
  <si>
    <t>Libra malvinense</t>
  </si>
  <si>
    <t>GBP</t>
  </si>
  <si>
    <t>Libra esterlina</t>
  </si>
  <si>
    <t>GEL</t>
  </si>
  <si>
    <t>Lari</t>
  </si>
  <si>
    <t>GHS</t>
  </si>
  <si>
    <t>Cedi ghanés</t>
  </si>
  <si>
    <t>GIP</t>
  </si>
  <si>
    <t>Libra de Gibraltar</t>
  </si>
  <si>
    <t>GMD</t>
  </si>
  <si>
    <t>Dalasi</t>
  </si>
  <si>
    <t>GNF</t>
  </si>
  <si>
    <t>Franco guineano</t>
  </si>
  <si>
    <t>GTQ</t>
  </si>
  <si>
    <t>Quetzal</t>
  </si>
  <si>
    <t>GYD</t>
  </si>
  <si>
    <t>Dólar guyanés</t>
  </si>
  <si>
    <t>HKD</t>
  </si>
  <si>
    <t>Dólar de Hong Kong</t>
  </si>
  <si>
    <t>HNL</t>
  </si>
  <si>
    <t>Lempira</t>
  </si>
  <si>
    <t>HRK</t>
  </si>
  <si>
    <t>Kuna</t>
  </si>
  <si>
    <t>HTG</t>
  </si>
  <si>
    <t>Gourde</t>
  </si>
  <si>
    <t>HUF</t>
  </si>
  <si>
    <t>Forinto</t>
  </si>
  <si>
    <t>IDR</t>
  </si>
  <si>
    <t>Rupia indonesia</t>
  </si>
  <si>
    <t>ILS</t>
  </si>
  <si>
    <t>Nuevo shéquel israelí</t>
  </si>
  <si>
    <t>INR</t>
  </si>
  <si>
    <t>Rupia india</t>
  </si>
  <si>
    <t>IQD</t>
  </si>
  <si>
    <t>Dinar iraquí</t>
  </si>
  <si>
    <t>IRR</t>
  </si>
  <si>
    <t>Rial iraní</t>
  </si>
  <si>
    <t>ISK</t>
  </si>
  <si>
    <t>Corona islandesa</t>
  </si>
  <si>
    <t>JMD</t>
  </si>
  <si>
    <t>Dólar jamaiquino</t>
  </si>
  <si>
    <t>JOD</t>
  </si>
  <si>
    <t>Dinar jordano</t>
  </si>
  <si>
    <t>JPY</t>
  </si>
  <si>
    <t>Yen</t>
  </si>
  <si>
    <t>KES</t>
  </si>
  <si>
    <t>Chelín keniano</t>
  </si>
  <si>
    <t>KGS</t>
  </si>
  <si>
    <t>Som</t>
  </si>
  <si>
    <t>KHR</t>
  </si>
  <si>
    <t>Riel</t>
  </si>
  <si>
    <t>KMF</t>
  </si>
  <si>
    <t>Franco comorense</t>
  </si>
  <si>
    <t>KPW</t>
  </si>
  <si>
    <t>Won norcoreano</t>
  </si>
  <si>
    <t>KRW</t>
  </si>
  <si>
    <t>Won</t>
  </si>
  <si>
    <t>KWD</t>
  </si>
  <si>
    <t>Dinar kuwaití</t>
  </si>
  <si>
    <t>KYD</t>
  </si>
  <si>
    <t>Dólar de las Islas Caimán</t>
  </si>
  <si>
    <t>KZT</t>
  </si>
  <si>
    <t>Tenge</t>
  </si>
  <si>
    <t>LAK</t>
  </si>
  <si>
    <t>Kip</t>
  </si>
  <si>
    <t>LBP</t>
  </si>
  <si>
    <t>Libra libanesa</t>
  </si>
  <si>
    <t>LKR</t>
  </si>
  <si>
    <t>Rupia de Sri Lanka</t>
  </si>
  <si>
    <t>LRD</t>
  </si>
  <si>
    <t>Dólar liberiano</t>
  </si>
  <si>
    <t>LSL</t>
  </si>
  <si>
    <t>Loti</t>
  </si>
  <si>
    <t>LYD</t>
  </si>
  <si>
    <t>Dinar libio</t>
  </si>
  <si>
    <t>MAD</t>
  </si>
  <si>
    <t>Dírham marroquí</t>
  </si>
  <si>
    <t>MDL</t>
  </si>
  <si>
    <t>Leu moldavo</t>
  </si>
  <si>
    <t>MGA</t>
  </si>
  <si>
    <t>Ariary malgache</t>
  </si>
  <si>
    <t>MKD</t>
  </si>
  <si>
    <t>Denar</t>
  </si>
  <si>
    <t>MMK</t>
  </si>
  <si>
    <t>Kyat</t>
  </si>
  <si>
    <t>MNT</t>
  </si>
  <si>
    <t>Tugrik</t>
  </si>
  <si>
    <t>MOP</t>
  </si>
  <si>
    <t>Pataca</t>
  </si>
  <si>
    <t>MRU</t>
  </si>
  <si>
    <t>Uguiya</t>
  </si>
  <si>
    <t>MUR</t>
  </si>
  <si>
    <t>Rupia de Mauricio</t>
  </si>
  <si>
    <t>MVR</t>
  </si>
  <si>
    <t>Rufiyaa</t>
  </si>
  <si>
    <t>MWK</t>
  </si>
  <si>
    <t>Kwacha</t>
  </si>
  <si>
    <t>MXN</t>
  </si>
  <si>
    <t>Peso mexicano</t>
  </si>
  <si>
    <t>MXV</t>
  </si>
  <si>
    <t>Unidad de Inversión (UDI) mexicana</t>
  </si>
  <si>
    <t>MYR</t>
  </si>
  <si>
    <t>Ringgit malayo</t>
  </si>
  <si>
    <t>MZN</t>
  </si>
  <si>
    <t>Metical mozambiqueño</t>
  </si>
  <si>
    <t>NAD</t>
  </si>
  <si>
    <t>Dólar namibio</t>
  </si>
  <si>
    <t>NGN</t>
  </si>
  <si>
    <t>Naira</t>
  </si>
  <si>
    <t>NIO</t>
  </si>
  <si>
    <t>Córdoba</t>
  </si>
  <si>
    <t>NOK</t>
  </si>
  <si>
    <t>Corona noruega</t>
  </si>
  <si>
    <t>NPR</t>
  </si>
  <si>
    <t>Rupia nepalí</t>
  </si>
  <si>
    <t>NZD</t>
  </si>
  <si>
    <t>Dólar neozelandés</t>
  </si>
  <si>
    <t>OMR</t>
  </si>
  <si>
    <t>Rial omaní</t>
  </si>
  <si>
    <t>PAB</t>
  </si>
  <si>
    <t>Balboa</t>
  </si>
  <si>
    <t>PEN</t>
  </si>
  <si>
    <t>Sol</t>
  </si>
  <si>
    <t>PGK</t>
  </si>
  <si>
    <t>Kina</t>
  </si>
  <si>
    <t>PHP</t>
  </si>
  <si>
    <t>Peso filipino</t>
  </si>
  <si>
    <t>PKR</t>
  </si>
  <si>
    <t>Rupia pakistaní</t>
  </si>
  <si>
    <t>PLN</t>
  </si>
  <si>
    <t>Złoty</t>
  </si>
  <si>
    <t>QAR</t>
  </si>
  <si>
    <t>Riyal qatarí</t>
  </si>
  <si>
    <t>RON</t>
  </si>
  <si>
    <t>Leu rumano</t>
  </si>
  <si>
    <t>RSD</t>
  </si>
  <si>
    <t>Dinar serbio</t>
  </si>
  <si>
    <t>RUB</t>
  </si>
  <si>
    <t>Rublo ruso</t>
  </si>
  <si>
    <t>RWF</t>
  </si>
  <si>
    <t>Franco ruandés</t>
  </si>
  <si>
    <t>SAR</t>
  </si>
  <si>
    <t>Riyal saudí</t>
  </si>
  <si>
    <t>SBD</t>
  </si>
  <si>
    <t>Dólar de las Islas Salomón</t>
  </si>
  <si>
    <t>SCR</t>
  </si>
  <si>
    <t>Rupia seychelense</t>
  </si>
  <si>
    <t>SDG</t>
  </si>
  <si>
    <t>Dinar sudanés</t>
  </si>
  <si>
    <t>SEK</t>
  </si>
  <si>
    <t>Corona sueca</t>
  </si>
  <si>
    <t>SGD</t>
  </si>
  <si>
    <t>Dólar de Singapur</t>
  </si>
  <si>
    <t>SHP</t>
  </si>
  <si>
    <t>Libra de Santa Elena</t>
  </si>
  <si>
    <t>SLL</t>
  </si>
  <si>
    <t>Leone</t>
  </si>
  <si>
    <t>SOS</t>
  </si>
  <si>
    <t>Chelín somalí</t>
  </si>
  <si>
    <t>SRD</t>
  </si>
  <si>
    <t>Dólar surinamés</t>
  </si>
  <si>
    <t>SSP</t>
  </si>
  <si>
    <t>Libra sursudanesa</t>
  </si>
  <si>
    <t>STN</t>
  </si>
  <si>
    <t>Dobra</t>
  </si>
  <si>
    <t>SVC</t>
  </si>
  <si>
    <t>Colon Salvadoreño</t>
  </si>
  <si>
    <t>SYP</t>
  </si>
  <si>
    <t>Libra siria</t>
  </si>
  <si>
    <t>SZL</t>
  </si>
  <si>
    <t>Lilangeni</t>
  </si>
  <si>
    <t>THB</t>
  </si>
  <si>
    <t>Baht</t>
  </si>
  <si>
    <t>TJS</t>
  </si>
  <si>
    <t>Somoni tayiko</t>
  </si>
  <si>
    <t>TMT</t>
  </si>
  <si>
    <t>Manat turcomano</t>
  </si>
  <si>
    <t>TND</t>
  </si>
  <si>
    <t>Dinar tunecino</t>
  </si>
  <si>
    <t>TOP</t>
  </si>
  <si>
    <t>Paʻanga</t>
  </si>
  <si>
    <t>TRY</t>
  </si>
  <si>
    <t>Lira turca</t>
  </si>
  <si>
    <t>TTD</t>
  </si>
  <si>
    <t>Dólar de Trinidad y Tobago</t>
  </si>
  <si>
    <t>TWD</t>
  </si>
  <si>
    <t>Nuevo dólar taiwanés</t>
  </si>
  <si>
    <t>TZS</t>
  </si>
  <si>
    <t>Chelín tanzano</t>
  </si>
  <si>
    <t>UAH</t>
  </si>
  <si>
    <t>Grivna</t>
  </si>
  <si>
    <t>UGX</t>
  </si>
  <si>
    <t>Chelín ugandés</t>
  </si>
  <si>
    <t>USN</t>
  </si>
  <si>
    <t>Dólar estadounidense (Siguiente día)</t>
  </si>
  <si>
    <t>UYI</t>
  </si>
  <si>
    <t>Peso en Unidades Indexadas (Uruguay)</t>
  </si>
  <si>
    <t>UYU</t>
  </si>
  <si>
    <t>Peso uruguayo</t>
  </si>
  <si>
    <t>UYW</t>
  </si>
  <si>
    <t>Unidad Previsional</t>
  </si>
  <si>
    <t>UZS</t>
  </si>
  <si>
    <t>Som uzbeko</t>
  </si>
  <si>
    <t>VES7​</t>
  </si>
  <si>
    <t>Bolívar soberano</t>
  </si>
  <si>
    <t>VND</t>
  </si>
  <si>
    <t>Dong vietnamita</t>
  </si>
  <si>
    <t>VUV</t>
  </si>
  <si>
    <t>Vatu</t>
  </si>
  <si>
    <t>WST</t>
  </si>
  <si>
    <t>Tala</t>
  </si>
  <si>
    <t>XAF</t>
  </si>
  <si>
    <t>Franco CFA de África Central</t>
  </si>
  <si>
    <t>XAG</t>
  </si>
  <si>
    <t>Plata (una onza troy)</t>
  </si>
  <si>
    <t>XAU</t>
  </si>
  <si>
    <t>Oro (una onza troy)</t>
  </si>
  <si>
    <t>XBA</t>
  </si>
  <si>
    <t>Unidad compuesta europea (EURCO) (Unidad del mercados de bonos)</t>
  </si>
  <si>
    <t>XBB</t>
  </si>
  <si>
    <t>Unidad Monetaria europea (E.M.U.-6) (Unidad del mercado de bonos)</t>
  </si>
  <si>
    <t>XBC</t>
  </si>
  <si>
    <t>Unidad europea de cuenta 9 (E.U.A.-9) (Unidad del mercado de bonos)</t>
  </si>
  <si>
    <t>XBD</t>
  </si>
  <si>
    <t>Unidad europea de cuenta 17 (E.U.A.-17) (Unidad del mercado de bonos)</t>
  </si>
  <si>
    <t>XCD</t>
  </si>
  <si>
    <t>Dólar del Caribe Oriental</t>
  </si>
  <si>
    <t>XDR</t>
  </si>
  <si>
    <t>Derechos especiales de giro</t>
  </si>
  <si>
    <t>XOF</t>
  </si>
  <si>
    <t>Franco CFA de África Occidental</t>
  </si>
  <si>
    <t>XPD</t>
  </si>
  <si>
    <t>Paladio (una onza troy)</t>
  </si>
  <si>
    <t>XPF</t>
  </si>
  <si>
    <t>Franco CFP</t>
  </si>
  <si>
    <t>XPT</t>
  </si>
  <si>
    <t>Platino (una onza troy)</t>
  </si>
  <si>
    <t>XSU</t>
  </si>
  <si>
    <t>SUCRE</t>
  </si>
  <si>
    <t>XTS</t>
  </si>
  <si>
    <t>Reservado para pruebas</t>
  </si>
  <si>
    <t>XUA</t>
  </si>
  <si>
    <t>Unidad de cuenta BAD</t>
  </si>
  <si>
    <t>XXX</t>
  </si>
  <si>
    <t>Sin divisa</t>
  </si>
  <si>
    <t>YER</t>
  </si>
  <si>
    <t>Rial yemení</t>
  </si>
  <si>
    <t>ZAR</t>
  </si>
  <si>
    <t>Rand</t>
  </si>
  <si>
    <t>ZMW</t>
  </si>
  <si>
    <t>Kwacha zambiano</t>
  </si>
  <si>
    <t>ZWL</t>
  </si>
  <si>
    <t>Dólar zimbabuense</t>
  </si>
  <si>
    <t>Denominación:</t>
  </si>
  <si>
    <t>Domicilio Legal:</t>
  </si>
  <si>
    <t>Actividad Principal:</t>
  </si>
  <si>
    <t>Inscripción en el Registro Público de Comercio:</t>
  </si>
  <si>
    <t>Fecha de vencimiento del Estatuto o Contrato Social:</t>
  </si>
  <si>
    <t>Composición del Capital: Por acciones ordinarias al portador y nominativas</t>
  </si>
  <si>
    <t xml:space="preserve">                                                                                      Acciones</t>
  </si>
  <si>
    <t>Cantidad</t>
  </si>
  <si>
    <t>Clase</t>
  </si>
  <si>
    <t>Tipo</t>
  </si>
  <si>
    <t>Nº de votos que otorga cada acción</t>
  </si>
  <si>
    <t xml:space="preserve">Suscripto </t>
  </si>
  <si>
    <t>(Gs.)</t>
  </si>
  <si>
    <t>Integrado</t>
  </si>
  <si>
    <t>Nominativas</t>
  </si>
  <si>
    <t>e. Previsión para cuentas de dudoso cobro/incobrables</t>
  </si>
  <si>
    <t>Las previsiones para cuentas de dudoso cobro se determinan al cierre de cada ejercicio y/o periodicamente sobre la base del estudio de la cartera de créditos realizado con el objeto de determinar la porción no recuperable de las cuentas a cobrar. Las previsiones para cuentas de dudoso cobro se determinan periodicamente y se muestra en Nota 5 de estos estados financieros.</t>
  </si>
  <si>
    <t>Las propiedades, planta y equipo se exponen a su costo histórico, menos la correspondiente depreciación acumulada. El costo de las mejoras que extienden la vida útil de los bienes o aumentan su capacidad productiva es imputado a las cuentas respectivas del activo.</t>
  </si>
  <si>
    <t>En el presente periodo se ha realizado una revisión de la vida útil de algunos bienes de Propiedad, Planta y Equipo considerando lo establecido en el párrafo 45 de la NIF 11, por las expectativas diferentes de los estimados previos, el cargo por depreciación para el periodo actual y futuros serán ajustados en forma prospectiva.</t>
  </si>
  <si>
    <t>La depreciación es calculada por el método de línea recta. La cantidad depreciable de un activo es determinada después de deducir el valor residual del activo, y está conforme a lo establecido en la Ley 6380/19, Art. 11 y las mismas son determinadas sobre la base de las tasas  establecidas en el Decreto 3182/19, Art. 31.</t>
  </si>
  <si>
    <t>Los gastos de mantenimiento son cargados a resultados.</t>
  </si>
  <si>
    <t>f. Propiedades, planta y equipo</t>
  </si>
  <si>
    <t>g. Goodwill</t>
  </si>
  <si>
    <t>h. Reconocimiento de ingresos y egresos</t>
  </si>
  <si>
    <t>i. Impuesto a la renta</t>
  </si>
  <si>
    <t>j. Restricciones a la distribución de utilidades</t>
  </si>
  <si>
    <t>k. Otros principios, prácticas y métodos</t>
  </si>
  <si>
    <t>Pagare Corriente ML</t>
  </si>
  <si>
    <t>Pagare Corriente ME</t>
  </si>
  <si>
    <t>Prestamos al Personal</t>
  </si>
  <si>
    <t>Edificios</t>
  </si>
  <si>
    <t>Carteles y Letreros</t>
  </si>
  <si>
    <t>Otros Activos</t>
  </si>
  <si>
    <t>Muebles y Enseres</t>
  </si>
  <si>
    <t>NO SUJETOS A DEPRECIACIÓN</t>
  </si>
  <si>
    <t>Inmueble Principal (65.48%)</t>
  </si>
  <si>
    <t>Inmueble 2 (0.61 %)</t>
  </si>
  <si>
    <t>Inmueble 3 (6.14 %)</t>
  </si>
  <si>
    <t>Inmueble 4 (0.68 %)</t>
  </si>
  <si>
    <t>Inmueble 5 (27.08 %)</t>
  </si>
  <si>
    <t>Inmueble 6 (100%)</t>
  </si>
  <si>
    <t>Tarjeta Salemma Card</t>
  </si>
  <si>
    <t>IPS a Pagar</t>
  </si>
  <si>
    <t>Seguros a Pagar</t>
  </si>
  <si>
    <t>Aguinaldo a Pagar</t>
  </si>
  <si>
    <t>No aplicable a la Sociedad.</t>
  </si>
  <si>
    <t>Gastos Comunes</t>
  </si>
  <si>
    <t>Gastos Generales</t>
  </si>
  <si>
    <t>Adquisicion Herramientas</t>
  </si>
  <si>
    <t>Papeleria, Útiles e impresos</t>
  </si>
  <si>
    <t>Luz, Agua y Telefono</t>
  </si>
  <si>
    <t>Gastos Bancarios</t>
  </si>
  <si>
    <t>Diferencia de Cambio</t>
  </si>
  <si>
    <t>Otros Ingresos</t>
  </si>
  <si>
    <t>Descuento Obtenidos</t>
  </si>
  <si>
    <t>Depreciación Bienes de uso</t>
  </si>
  <si>
    <t xml:space="preserve">Cambio en política contable </t>
  </si>
  <si>
    <t>Distribución de dividendos</t>
  </si>
  <si>
    <t xml:space="preserve">Distribución de dividendos </t>
  </si>
  <si>
    <t>Equipos de Informatica</t>
  </si>
  <si>
    <t>Dividendos a Pagar</t>
  </si>
  <si>
    <t>Otros ingresos no operativos</t>
  </si>
  <si>
    <t>Otros gastos no operativos</t>
  </si>
  <si>
    <t>DÓLAR</t>
  </si>
  <si>
    <t>C Reservas facultativas</t>
  </si>
  <si>
    <t>d Fondo Especial para Capitalizacón</t>
  </si>
  <si>
    <t>NOTA 22 –  DIFERENCIA TRANSITORIA POR CONVERSION</t>
  </si>
  <si>
    <t>Nota 30 - Resultado de inversiones en asociadas</t>
  </si>
  <si>
    <t>No Aplica</t>
  </si>
  <si>
    <t xml:space="preserve">Cuentas a cobrar comerciales - </t>
  </si>
  <si>
    <t>Recupero de Incobrables</t>
  </si>
  <si>
    <t xml:space="preserve">Los estados financieros se ha preparado siguiendo los criterios de las Normas de Información Financiera (NIF) emitidas por el Consejo de Contadores Públicos del Paraguay sobre la base de costos históricos, excepto para el caso de activos y pasivos en moneda extranjera  y las propiedades, planta y equipo según se explica en los puntos c ) y k), y no reconocen en forma integral los efectos de la inflación sobre la situación patrimonial y financiera de la sociedad, sobre los resultados de sus operaciones y los flujos de efectivo, en atención a que la corrección monetaria no constituye una práctica contable obligatoria en el Paraguay. 
</t>
  </si>
  <si>
    <t>PASIVOS</t>
  </si>
  <si>
    <t>1 Dólar Americano</t>
  </si>
  <si>
    <t>Se considerán dentro del concepto de efectivo los saldos en efectivo, disponibilidades en cuentas bancarias y toda inversión de muy alta liquidez, con vencimiento originalmente pactado no superior a tres meses.</t>
  </si>
  <si>
    <t xml:space="preserve">   </t>
  </si>
  <si>
    <t>MUSIC HALL S.A.E.C.A.</t>
  </si>
  <si>
    <t>MU</t>
  </si>
  <si>
    <t>MUSIC HALL SOCIEDAD ANÓNIMA EMISORA DE CAPITAL ABIERTO</t>
  </si>
  <si>
    <t>(MUSIC HALL S.A.E.C.A.)</t>
  </si>
  <si>
    <t>Tte. Fariña casi Estados Unidos</t>
  </si>
  <si>
    <t>Asunción, Paraguay</t>
  </si>
  <si>
    <t>Comercio al por mayor de otros productos N.C.P.</t>
  </si>
  <si>
    <r>
      <t xml:space="preserve">Del Estatuto o Contrato Social: </t>
    </r>
    <r>
      <rPr>
        <b/>
        <sz val="9.5"/>
        <color indexed="18"/>
        <rFont val="Tahoma"/>
        <family val="2"/>
      </rPr>
      <t>Nº 268, del 12/09/1977.</t>
    </r>
  </si>
  <si>
    <r>
      <t xml:space="preserve">De las modificaciones: </t>
    </r>
    <r>
      <rPr>
        <b/>
        <sz val="9.5"/>
        <color indexed="18"/>
        <rFont val="Tahoma"/>
        <family val="2"/>
      </rPr>
      <t>Acta de Asamblea Extraordinaria Nº10 de fecha 08 de abril de 1987 protocolizado bajo el Nº 80 el 27/07/1987 y Acta de Asamblea Extraordinaria Nº 37 de fecha 15/12/2011 protocolizado bajo el Nº 707 el 28/12/2011</t>
    </r>
  </si>
  <si>
    <r>
      <t>Siguiente Modificación</t>
    </r>
    <r>
      <rPr>
        <b/>
        <sz val="9.5"/>
        <color indexed="18"/>
        <rFont val="Tahoma"/>
        <family val="2"/>
      </rPr>
      <t>: Acta de Asamblea Extraordinaria Nº 43 de la fecha 18 de febrero de 2019, protocolizado bajo Nº 21 de la fecha 10 de mayo de 2019</t>
    </r>
  </si>
  <si>
    <t>Septiembre de 2077.</t>
  </si>
  <si>
    <t>1 (uno)</t>
  </si>
  <si>
    <t>Caja USD</t>
  </si>
  <si>
    <t>Caja Ahorro Financiera Pyo Jap</t>
  </si>
  <si>
    <t>Sudameris Bank Cta. Cte. Gs 3841434Maris</t>
  </si>
  <si>
    <t>Sudameris bank  Cta. Cte. Gs 3841442Multi</t>
  </si>
  <si>
    <t>Banco Continental  Cta. Cte. Gs 01-00817720</t>
  </si>
  <si>
    <t>Sudameris Bank  Cta. Cte. Gs 3841459 TteF</t>
  </si>
  <si>
    <t>Sudameris Bank  Cta. Cte. Gs 3841467 Avia</t>
  </si>
  <si>
    <t>SudamerisBank  Cta. Cte. Gs 2841475 Rahal</t>
  </si>
  <si>
    <t>Itau  Cta. Cte. Gs 00055675/2</t>
  </si>
  <si>
    <t>Sudameris Bank Cta. Cte. Gs. 10 166711/2</t>
  </si>
  <si>
    <t>Banco ATLAS Cta. Cte. Gs.1243321</t>
  </si>
  <si>
    <t>Interfisa  Cta. Cte. Gs. 5-0001125</t>
  </si>
  <si>
    <t>Banco Basa  Cta. Cte. Gs. 210000237/3</t>
  </si>
  <si>
    <t>Itau Cta.Cte. U$05001313/1</t>
  </si>
  <si>
    <t>Sudameris Bank Cta.Cte. U$S 10 166711/2</t>
  </si>
  <si>
    <t>Bco Continental Cta.Cte. U$01-83074130</t>
  </si>
  <si>
    <t>Banco Atlas Cta. Cte. U$D1251487</t>
  </si>
  <si>
    <t>Sudameris Bank Cta.Cte. 3841434U$ Mcal</t>
  </si>
  <si>
    <t>Sudameris Bank Cta.Cte. 3841442 u$Km5</t>
  </si>
  <si>
    <t>Sudameris Bank Cta.Cte. 3841459 u$Tte.F</t>
  </si>
  <si>
    <t>Sudameris Bank Cta.Cte. 3841467u$Aviado</t>
  </si>
  <si>
    <t>Sudameris Bank Cta.Cte. 3841475 u$Rahal</t>
  </si>
  <si>
    <t>INTERFISA Bco Cta.Cte. U$60000354</t>
  </si>
  <si>
    <t>Valores a Regularizar Gs</t>
  </si>
  <si>
    <t>Recepción de Importación</t>
  </si>
  <si>
    <t xml:space="preserve">Muebles y Utiles </t>
  </si>
  <si>
    <t xml:space="preserve">Edificio </t>
  </si>
  <si>
    <t>Herramientas y Equipos</t>
  </si>
  <si>
    <t>Inmuebles</t>
  </si>
  <si>
    <t>Mejoras en propiedad propias (Revalúo Técnico)</t>
  </si>
  <si>
    <t>Llave del Negocio</t>
  </si>
  <si>
    <t>Amort.Acum.Llave del Negocio</t>
  </si>
  <si>
    <t>Software Informatico</t>
  </si>
  <si>
    <t>Amort.Acum. Software Inform.</t>
  </si>
  <si>
    <t>Registro de marca</t>
  </si>
  <si>
    <t>Amort.Acum. Reegistro de Marca</t>
  </si>
  <si>
    <t>Seguros a Vencer</t>
  </si>
  <si>
    <t>Cuentas a Vencer</t>
  </si>
  <si>
    <t>Prest Cap ITAU 90303392 CP</t>
  </si>
  <si>
    <t>Prest Cap ITAU 90326540 CP</t>
  </si>
  <si>
    <t>Prest Cap Sudameris 1297603 CP</t>
  </si>
  <si>
    <t>Prest. Cap Itau 90471662 CP</t>
  </si>
  <si>
    <t>Prest. Cap Itau 90244292 CP</t>
  </si>
  <si>
    <t>Prest. Cap Itau USD 378313 CP</t>
  </si>
  <si>
    <t>Prestamo Itau 2020</t>
  </si>
  <si>
    <t>Prestamos Sudameris LP</t>
  </si>
  <si>
    <t>Prést. Cap. ITAU Gs.-Nº 20180102050 LP</t>
  </si>
  <si>
    <t>Prést. Cap. ITAU Gs. Nº 20180426057 LP</t>
  </si>
  <si>
    <t>Prést. Cap. ITAU Gs. 20180426057 LP</t>
  </si>
  <si>
    <t>Préstamo Cap. Gs. ITAU  90244292 LP</t>
  </si>
  <si>
    <t>Prést -Cap. ITAU Gs. 20171012047 LP</t>
  </si>
  <si>
    <t>Retencion  IVA  a Prov. del Ex</t>
  </si>
  <si>
    <t>Retencion Imp Renta a Prov Ext</t>
  </si>
  <si>
    <t>IVA a Pagar</t>
  </si>
  <si>
    <t>Valores a Regularizar - Gs.</t>
  </si>
  <si>
    <t>Valores a Regularizar - USD</t>
  </si>
  <si>
    <t>Reserva de Revalúo Técnico</t>
  </si>
  <si>
    <t>Reserva Especial</t>
  </si>
  <si>
    <t>Resultados No Asignados</t>
  </si>
  <si>
    <t>Provisiones Varias</t>
  </si>
  <si>
    <t>Documentos a Pagar LP</t>
  </si>
  <si>
    <t>B</t>
  </si>
  <si>
    <t>Documentos a Pagar CP</t>
  </si>
  <si>
    <t>c.1. Revalúo Técnico</t>
  </si>
  <si>
    <t>c.2. Reserva Especial</t>
  </si>
  <si>
    <t xml:space="preserve">Ventas de Instrumentos, accesorios y otros </t>
  </si>
  <si>
    <t>Academia</t>
  </si>
  <si>
    <t>Cafetería, Art.de Limpieza y Serv. De Limpieza</t>
  </si>
  <si>
    <t>Gastos de alquiler - expensas comunes</t>
  </si>
  <si>
    <t>Comisiones</t>
  </si>
  <si>
    <t>Donaciones y contribuciones</t>
  </si>
  <si>
    <t>Indemnizaciones y Preavisos</t>
  </si>
  <si>
    <t>Aporte Patronal IPS</t>
  </si>
  <si>
    <t>Vacaciones</t>
  </si>
  <si>
    <t>Aguinaldo</t>
  </si>
  <si>
    <t>Descuentos Concedidos</t>
  </si>
  <si>
    <t>Premios y Gratificaciones</t>
  </si>
  <si>
    <t>GND</t>
  </si>
  <si>
    <t>Horas Extras</t>
  </si>
  <si>
    <t>Otros Ingresos No Operativos.</t>
  </si>
  <si>
    <t>Otros Ingresos - Desc.al Pers.</t>
  </si>
  <si>
    <t>Intereses Cobrados</t>
  </si>
  <si>
    <t>Otros Ingresos Financieros</t>
  </si>
  <si>
    <t>CALCULOS AUXILIARES PARA EL CASH FLOW</t>
  </si>
  <si>
    <t>a</t>
  </si>
  <si>
    <t>cargar en el cash flow</t>
  </si>
  <si>
    <t>1)</t>
  </si>
  <si>
    <t>Ventas Netas (cobro neto):</t>
  </si>
  <si>
    <t>Clientes Saldo Inicial :</t>
  </si>
  <si>
    <t>+ Ventas totales del ejercicio :</t>
  </si>
  <si>
    <t>- Clientes saldo final :</t>
  </si>
  <si>
    <t>-----------------------</t>
  </si>
  <si>
    <t>= Cobro neto del ejercicio :</t>
  </si>
  <si>
    <t>============</t>
  </si>
  <si>
    <t>2)</t>
  </si>
  <si>
    <t>Costo de Ventas (pago neto):</t>
  </si>
  <si>
    <t>Inventario saldo final :</t>
  </si>
  <si>
    <t>+ Costo de las Ventas :</t>
  </si>
  <si>
    <t>- Inventario saldo inicial :</t>
  </si>
  <si>
    <t>= Compras del ejercicio :</t>
  </si>
  <si>
    <t>2.1)</t>
  </si>
  <si>
    <t>+ Compras del ejercicio :</t>
  </si>
  <si>
    <t>2.2)</t>
  </si>
  <si>
    <t>Proveedores del Exterior saldo inicial :</t>
  </si>
  <si>
    <t xml:space="preserve"> - Proveedores del Exterior saldo final :</t>
  </si>
  <si>
    <t xml:space="preserve"> = Pago neto a proveedores del Exterior :</t>
  </si>
  <si>
    <t>2.3)</t>
  </si>
  <si>
    <t>Pagos a Proveedores (de otros bienes y servicios):</t>
  </si>
  <si>
    <t>Gastos Operacionales</t>
  </si>
  <si>
    <t xml:space="preserve">Gastos Administrativos </t>
  </si>
  <si>
    <t>+ Acreedores Varios SI</t>
  </si>
  <si>
    <t>- Acreedores Varios SF</t>
  </si>
  <si>
    <t>= Pago a proveedores :</t>
  </si>
  <si>
    <t>3)</t>
  </si>
  <si>
    <t>Efectivo pagado a empleados:</t>
  </si>
  <si>
    <t xml:space="preserve">Cuentas de Sueldos y Jornales: G. </t>
  </si>
  <si>
    <t>Provisiones de S y J saldo inicial :</t>
  </si>
  <si>
    <t>+ Total de gastos en S y J :</t>
  </si>
  <si>
    <t>- Provisiones de S y J saldo final :</t>
  </si>
  <si>
    <t>= Efectivo pagado a empleados :</t>
  </si>
  <si>
    <t>4)</t>
  </si>
  <si>
    <t>Efectivo generado (usado) por otras actividades:</t>
  </si>
  <si>
    <t>4.1)</t>
  </si>
  <si>
    <t>Otros Ingresos Operativos</t>
  </si>
  <si>
    <t>-------------------------</t>
  </si>
  <si>
    <t>Registra una actividad de G.</t>
  </si>
  <si>
    <t>4.2)</t>
  </si>
  <si>
    <t>Otros deudores varios</t>
  </si>
  <si>
    <t>Saldo Inicial :</t>
  </si>
  <si>
    <t xml:space="preserve"> + Ingresos Varios :</t>
  </si>
  <si>
    <t xml:space="preserve"> - Saldo final :</t>
  </si>
  <si>
    <t xml:space="preserve">= Cobros del periodo </t>
  </si>
  <si>
    <t>5)</t>
  </si>
  <si>
    <t>Pago de Impuestos</t>
  </si>
  <si>
    <t>5.1)</t>
  </si>
  <si>
    <t>Impuesto al Valor Agregado</t>
  </si>
  <si>
    <t>IVA a pagar saldo final</t>
  </si>
  <si>
    <t>- IVA crédito fiscal saldo final</t>
  </si>
  <si>
    <t>- IVA a pagar saldo inicial</t>
  </si>
  <si>
    <t>- Retencion IVA SF</t>
  </si>
  <si>
    <t>+ Retencion IVA SI</t>
  </si>
  <si>
    <t>+ IVA crédito fiscal saldo inicial</t>
  </si>
  <si>
    <t xml:space="preserve">Disminución el crédito del iva </t>
  </si>
  <si>
    <t>Aplicaciones</t>
  </si>
  <si>
    <t>5.2)</t>
  </si>
  <si>
    <t>Impuesto a la Renta:</t>
  </si>
  <si>
    <t>Impuesto a la Renta</t>
  </si>
  <si>
    <t>+ Provisión Impuesto a la Renta SI</t>
  </si>
  <si>
    <t>- Provisión Impuesto a la Renta SF</t>
  </si>
  <si>
    <t>- Ret.Rta. Y Anticipo SI</t>
  </si>
  <si>
    <t>+ Ret.Rta. Y Anticipo SF</t>
  </si>
  <si>
    <t>= Pago de impuesto a la renta :</t>
  </si>
  <si>
    <t>5.3)</t>
  </si>
  <si>
    <t>Otros Impuestos</t>
  </si>
  <si>
    <t>Saldo final de Otros Impuestos</t>
  </si>
  <si>
    <t>Saldo inicial de Otros Impuestos</t>
  </si>
  <si>
    <t xml:space="preserve"> = Pagos  del Periodo :</t>
  </si>
  <si>
    <t>6)</t>
  </si>
  <si>
    <t>Inversiones temporarias:</t>
  </si>
  <si>
    <t>Saldo final de Inversiones Temporarias</t>
  </si>
  <si>
    <t>Saldo inicial de Inversiones Temporarias :</t>
  </si>
  <si>
    <t xml:space="preserve"> = Inversion del Periodo :</t>
  </si>
  <si>
    <t>7)</t>
  </si>
  <si>
    <t>Inversiones a Largo Plazo</t>
  </si>
  <si>
    <t>7.1)</t>
  </si>
  <si>
    <t>Saldo final de Inversiones a LP</t>
  </si>
  <si>
    <t>Saldo inicial de Inversiones a LP</t>
  </si>
  <si>
    <t xml:space="preserve"> = Gastos del  Periodo :</t>
  </si>
  <si>
    <t>7.2)</t>
  </si>
  <si>
    <t>Activos Intangibles</t>
  </si>
  <si>
    <t>Amort. Act. Intangible</t>
  </si>
  <si>
    <t>Act. Intang. SI</t>
  </si>
  <si>
    <t>- Act. Intang. SF</t>
  </si>
  <si>
    <t>8)</t>
  </si>
  <si>
    <t>Compra de propiedad, planta y equipo:</t>
  </si>
  <si>
    <t>Bienes de Uso saldo final</t>
  </si>
  <si>
    <t>- Revalúo del Ejercicio</t>
  </si>
  <si>
    <t>+ Depreciaciones del Ejercicio</t>
  </si>
  <si>
    <t>- Bienes de Uso saldo inicial</t>
  </si>
  <si>
    <t>= Compras de activo fijo del periodo:</t>
  </si>
  <si>
    <t xml:space="preserve">El resultado indica que no hay una compra sino una </t>
  </si>
  <si>
    <t>venta de activo fijo.</t>
  </si>
  <si>
    <t>9)</t>
  </si>
  <si>
    <t>Aportes de capital:</t>
  </si>
  <si>
    <t>Saldo final de capital :</t>
  </si>
  <si>
    <t>Saldo inicial de capital :</t>
  </si>
  <si>
    <t>= Capitalización :</t>
  </si>
  <si>
    <t>10)</t>
  </si>
  <si>
    <t xml:space="preserve">Préstamos </t>
  </si>
  <si>
    <t>Saldo final de préstamos CP</t>
  </si>
  <si>
    <t>Saldo inicial de préstamos CP</t>
  </si>
  <si>
    <t>= Contratación de nuevos capitales :</t>
  </si>
  <si>
    <t>Saldo final de préstamos LP</t>
  </si>
  <si>
    <t>Saldo inicial de préstamos LP</t>
  </si>
  <si>
    <t>11)</t>
  </si>
  <si>
    <t>Dividendos pagados:</t>
  </si>
  <si>
    <t xml:space="preserve">Reserva Legal  </t>
  </si>
  <si>
    <t>Resultado Acumulado Saldo Final</t>
  </si>
  <si>
    <t>Resultado del Ejercicio Saldo Final</t>
  </si>
  <si>
    <t>Reserva Estatutaria Saldo Final</t>
  </si>
  <si>
    <t>Reserva Legal Saldo Final</t>
  </si>
  <si>
    <t>Dividendos a Pagar Saldo Final</t>
  </si>
  <si>
    <t xml:space="preserve"> - Resultado del Ejercicio</t>
  </si>
  <si>
    <t>-  Resultado del Ejercicio Saldo inicial</t>
  </si>
  <si>
    <t xml:space="preserve"> - Resultado Acumulado Saldo Inicial</t>
  </si>
  <si>
    <t xml:space="preserve"> - Reserva Estatutaria Saldo Inicial</t>
  </si>
  <si>
    <t xml:space="preserve"> - Reserva Legal </t>
  </si>
  <si>
    <t xml:space="preserve"> - Dividendos a Pagar Saldo Inicial</t>
  </si>
  <si>
    <t>------------------------</t>
  </si>
  <si>
    <t>= Pago de dividendos :</t>
  </si>
  <si>
    <t>El resultado indica que no hay un pago de dividendos</t>
  </si>
  <si>
    <t>sino una retención de los mismos. Un origen.</t>
  </si>
  <si>
    <t>12)</t>
  </si>
  <si>
    <t>Intereses pagados:</t>
  </si>
  <si>
    <t xml:space="preserve">Saldo inicial de intereses a pagar : </t>
  </si>
  <si>
    <t>+ Gastos financieros del periodo :</t>
  </si>
  <si>
    <t>- Saldo final de intereses a pagar :</t>
  </si>
  <si>
    <t>= Pago de intereses :</t>
  </si>
  <si>
    <t>Indica una aplicación.</t>
  </si>
  <si>
    <t>13)</t>
  </si>
  <si>
    <t>Diferencia de Cambio:</t>
  </si>
  <si>
    <t>Diferencia del cambio del periodo:</t>
  </si>
  <si>
    <t>Como es una pérdida indica una aplicación.</t>
  </si>
  <si>
    <t>Proveedores Locales y del Ext saldo inicial :</t>
  </si>
  <si>
    <t xml:space="preserve"> - Proveedores Locales y del Ext saldo final :</t>
  </si>
  <si>
    <t xml:space="preserve"> = Pago neto a proveedores Locales y del Ext:</t>
  </si>
  <si>
    <t>NRO.CTA.</t>
  </si>
  <si>
    <t>NOMBRE</t>
  </si>
  <si>
    <t>ACUMULADO PERIODO</t>
  </si>
  <si>
    <t>SALDO DEUDOR</t>
  </si>
  <si>
    <t>SALDO ACREEDOR</t>
  </si>
  <si>
    <t>TOTALES</t>
  </si>
  <si>
    <t>1</t>
  </si>
  <si>
    <t>11</t>
  </si>
  <si>
    <t>ACTIVO CORRIENTE</t>
  </si>
  <si>
    <t>1101</t>
  </si>
  <si>
    <t>DISPONIBILIDADES</t>
  </si>
  <si>
    <t>110101</t>
  </si>
  <si>
    <t>CAJA</t>
  </si>
  <si>
    <t>110101001</t>
  </si>
  <si>
    <t>Fondos p/cambio-Sucursales</t>
  </si>
  <si>
    <t>110101002</t>
  </si>
  <si>
    <t>Fondos p/cambio - Tesoreria</t>
  </si>
  <si>
    <t>110101010</t>
  </si>
  <si>
    <t>Fondo Fijo Sucursales</t>
  </si>
  <si>
    <t>110101028</t>
  </si>
  <si>
    <t>Recaudaciones a Depositar Gs</t>
  </si>
  <si>
    <t>110111</t>
  </si>
  <si>
    <t>BANCOS - CTAS.CTES.</t>
  </si>
  <si>
    <t>Itau Cta.CteU$05001313/1</t>
  </si>
  <si>
    <t>Sudameris Bank U$S 10 166711/2</t>
  </si>
  <si>
    <t>Bco Continental  U$01-83074130</t>
  </si>
  <si>
    <t>Banco Continental 01-00817720</t>
  </si>
  <si>
    <t>Itau Gs 00055675/2</t>
  </si>
  <si>
    <t>Sudameris Bank Gs. 10 166711/2</t>
  </si>
  <si>
    <t>110121</t>
  </si>
  <si>
    <t>BANCOS - CAJAS DE AHORRO</t>
  </si>
  <si>
    <t>INTERFISA Bco U$60000354</t>
  </si>
  <si>
    <t>1102</t>
  </si>
  <si>
    <t>CREDITOS</t>
  </si>
  <si>
    <t>110201</t>
  </si>
  <si>
    <t>CREDITOS COMERCIALES</t>
  </si>
  <si>
    <t>110201001</t>
  </si>
  <si>
    <t>110201002</t>
  </si>
  <si>
    <t>110201007</t>
  </si>
  <si>
    <t>Cheques Diferidos U$</t>
  </si>
  <si>
    <t>110211</t>
  </si>
  <si>
    <t>ANTICIPOS PAGADOS</t>
  </si>
  <si>
    <t>110211012</t>
  </si>
  <si>
    <t>Anticip.Proveedores Exterior</t>
  </si>
  <si>
    <t>110221</t>
  </si>
  <si>
    <t>CREDITOS FISCALES</t>
  </si>
  <si>
    <t>Retencion Imp. a la renta E.T.</t>
  </si>
  <si>
    <t>Tributos en SumarioAduana</t>
  </si>
  <si>
    <t>110231</t>
  </si>
  <si>
    <t>CREDITOS AL PERSONAL</t>
  </si>
  <si>
    <t>Anticipos al Personal Venta</t>
  </si>
  <si>
    <t>110251</t>
  </si>
  <si>
    <t>OTROS CREDITOS</t>
  </si>
  <si>
    <t>1103</t>
  </si>
  <si>
    <t>BIENES DE CAMBIO</t>
  </si>
  <si>
    <t>110301</t>
  </si>
  <si>
    <t>COMPRA DE INSTRUMENTOS</t>
  </si>
  <si>
    <t>Instrumentos EX  IVA art E</t>
  </si>
  <si>
    <t>Instrumentos   IVA1.5 art T</t>
  </si>
  <si>
    <t>Instrumentos GR  IVA 10%</t>
  </si>
  <si>
    <t>Instrumentos EX Artesanal</t>
  </si>
  <si>
    <t>110302</t>
  </si>
  <si>
    <t>COMPRA DE ACCESORIOS</t>
  </si>
  <si>
    <t>Acc. p/ Instrum. EX IVA</t>
  </si>
  <si>
    <t>Acc. p/ Instrum.  EX  IVA</t>
  </si>
  <si>
    <t>Acc. p/ Instrum.  GR  IVA</t>
  </si>
  <si>
    <t>110303</t>
  </si>
  <si>
    <t>COMPRA DE REPUESTOS</t>
  </si>
  <si>
    <t>Repuestos p/ Inst EX  IVA</t>
  </si>
  <si>
    <t>Repuestos p/ Inst GR  IVA</t>
  </si>
  <si>
    <t>COMPRA DE AUDIO PROFESIONAL</t>
  </si>
  <si>
    <t>110305</t>
  </si>
  <si>
    <t>COMPRA DE AUDIO CASERO</t>
  </si>
  <si>
    <t>Audio Casero - EX  IVA art E</t>
  </si>
  <si>
    <t>Audio Casero - GR  IVA</t>
  </si>
  <si>
    <t>110306</t>
  </si>
  <si>
    <t>COMPRA DE MOTOS</t>
  </si>
  <si>
    <t>BEBIDA EXC compra</t>
  </si>
  <si>
    <t>BEBIDA GRAV compra</t>
  </si>
  <si>
    <t>110350</t>
  </si>
  <si>
    <t>COMPRA DE CD's</t>
  </si>
  <si>
    <t>CD  GR  IVA</t>
  </si>
  <si>
    <t>110352</t>
  </si>
  <si>
    <t>COMPRA DE CASSETTES</t>
  </si>
  <si>
    <t>MC  EX   IVA</t>
  </si>
  <si>
    <t>MC  GR   IVA</t>
  </si>
  <si>
    <t>110355</t>
  </si>
  <si>
    <t>COMPRA DE LONG PLAY</t>
  </si>
  <si>
    <t>LP  EX  IVA</t>
  </si>
  <si>
    <t>LP  GR  IVA</t>
  </si>
  <si>
    <t>110357</t>
  </si>
  <si>
    <t>COMPRA DE DVD</t>
  </si>
  <si>
    <t>DVD  EX   IVA   RTA</t>
  </si>
  <si>
    <t>DVD EX  IVA</t>
  </si>
  <si>
    <t>DVD GR  IVA</t>
  </si>
  <si>
    <t>BLUE RAY DVD</t>
  </si>
  <si>
    <t>110359</t>
  </si>
  <si>
    <t>COMPRA DE LASER DISK</t>
  </si>
  <si>
    <t>AUDIO LIBROS</t>
  </si>
  <si>
    <t>COMPRA DE VHS</t>
  </si>
  <si>
    <t>ART.VARIOS P/INSTALACION</t>
  </si>
  <si>
    <t>COMPRA DE ARTICULOS VARIOS</t>
  </si>
  <si>
    <t>Libros  EX  IVA</t>
  </si>
  <si>
    <t>ART. VARIOS  GR IVA</t>
  </si>
  <si>
    <t>12</t>
  </si>
  <si>
    <t>ACTIVO NO CORRIENTE</t>
  </si>
  <si>
    <t>1201</t>
  </si>
  <si>
    <t>BIENES DE USO</t>
  </si>
  <si>
    <t>120101</t>
  </si>
  <si>
    <t>MUEBLES Y UTILES</t>
  </si>
  <si>
    <t>Muebles y Utiles</t>
  </si>
  <si>
    <t>Deprec.Acum.- Muebles y Utiles</t>
  </si>
  <si>
    <t>HERRAMIENTAS Y EQUIPOS</t>
  </si>
  <si>
    <t>Dep.Acum.Herram.y Equipos</t>
  </si>
  <si>
    <t>EQUIPOS DE INFORMATICA</t>
  </si>
  <si>
    <t>Dep.Acm.Eq.de Informatica</t>
  </si>
  <si>
    <t>RODADOS</t>
  </si>
  <si>
    <t>Deprec.Acum. - Rodados</t>
  </si>
  <si>
    <t>INMUEBLES</t>
  </si>
  <si>
    <t>Edificio Tte. Fariña</t>
  </si>
  <si>
    <t>Dep.Acum.Edif. Tte.Fariña.</t>
  </si>
  <si>
    <t>Dep.Acum.Edif.Fdo de la Mora</t>
  </si>
  <si>
    <t>MEJ.INMBUEBLES DE TROS.</t>
  </si>
  <si>
    <t>Mej.Locat.y en Prop. de Tercer</t>
  </si>
  <si>
    <t>Dep.Acum.Mej.Locat.y Pro.Terc.</t>
  </si>
  <si>
    <t>TERRENOS</t>
  </si>
  <si>
    <t>Terrenos</t>
  </si>
  <si>
    <t>Mejoras en curso Edificio Fdo.</t>
  </si>
  <si>
    <t>Deprec Mejoras Edif Fdo</t>
  </si>
  <si>
    <t>1211</t>
  </si>
  <si>
    <t>CARGOS DIFERIDOS</t>
  </si>
  <si>
    <t>121111</t>
  </si>
  <si>
    <t>GTOS. DE CONSULT.E INFORMATICA</t>
  </si>
  <si>
    <t>121111001</t>
  </si>
  <si>
    <t>Gastos de Consult.e Informat.</t>
  </si>
  <si>
    <t>121111002</t>
  </si>
  <si>
    <t>Amort.Acum.Gtos.de Consult.e I</t>
  </si>
  <si>
    <t>121112</t>
  </si>
  <si>
    <t>BIENES INTANGIBLES</t>
  </si>
  <si>
    <t>121113</t>
  </si>
  <si>
    <t>GASTOS PAGADOS POR ADELANTADO</t>
  </si>
  <si>
    <t>2</t>
  </si>
  <si>
    <t>P A S I V O</t>
  </si>
  <si>
    <t>21</t>
  </si>
  <si>
    <t>2101</t>
  </si>
  <si>
    <t>DEUDAS OPERATIVAS</t>
  </si>
  <si>
    <t>210101</t>
  </si>
  <si>
    <t>DEUDAS COMERCIALES</t>
  </si>
  <si>
    <t>210101001</t>
  </si>
  <si>
    <t>Prov. Locales - Mercaderías Gs</t>
  </si>
  <si>
    <t>210101002</t>
  </si>
  <si>
    <t>Prov. Locales Mercaderias US$</t>
  </si>
  <si>
    <t>210101011</t>
  </si>
  <si>
    <t>Prov. del Exterior -Merc. US$</t>
  </si>
  <si>
    <t>210101090</t>
  </si>
  <si>
    <t>Prov. Bienes y Serv.US$</t>
  </si>
  <si>
    <t>210101091</t>
  </si>
  <si>
    <t>Prov. Bienes y Serv. Gs.</t>
  </si>
  <si>
    <t>210101191</t>
  </si>
  <si>
    <t>Dividendos  a  Distribuir</t>
  </si>
  <si>
    <t>210111</t>
  </si>
  <si>
    <t>DEUDAS SOCIALES</t>
  </si>
  <si>
    <t>210111011</t>
  </si>
  <si>
    <t>210111031</t>
  </si>
  <si>
    <t>Aguinaldos a Pagar</t>
  </si>
  <si>
    <t>210111033</t>
  </si>
  <si>
    <t>Sueldos a Pagar</t>
  </si>
  <si>
    <t>210121</t>
  </si>
  <si>
    <t>DEUDAS FISCALES</t>
  </si>
  <si>
    <t>211101</t>
  </si>
  <si>
    <t>DEUDAS BANCARIAS Y FINANCI.-CP</t>
  </si>
  <si>
    <t>211101102</t>
  </si>
  <si>
    <t>Prést. Cap Gs. 20171012047 CP</t>
  </si>
  <si>
    <t>211101103</t>
  </si>
  <si>
    <t>Prest Cap 102050 CP</t>
  </si>
  <si>
    <t>211101104</t>
  </si>
  <si>
    <t>Prest Cap 426057 CP</t>
  </si>
  <si>
    <t>211101106</t>
  </si>
  <si>
    <t>Prest Sudam 1290905</t>
  </si>
  <si>
    <t>211101201</t>
  </si>
  <si>
    <t>Ptmo.Bancario  Gs-Nº90244292</t>
  </si>
  <si>
    <t>211101211</t>
  </si>
  <si>
    <t>Intereses a Pagar Gs</t>
  </si>
  <si>
    <t>211101212</t>
  </si>
  <si>
    <t>Intereses a Vencer CP</t>
  </si>
  <si>
    <t>2171</t>
  </si>
  <si>
    <t>DEUDAS BANCARIAS Y FINANC.-LP</t>
  </si>
  <si>
    <t>217101</t>
  </si>
  <si>
    <t>217101101</t>
  </si>
  <si>
    <t>Prést -Cap Gs. 20171012047 LP</t>
  </si>
  <si>
    <t>217101102</t>
  </si>
  <si>
    <t>Préstamo Cap LP 90244292</t>
  </si>
  <si>
    <t>217101104</t>
  </si>
  <si>
    <t>Prést. Cap Gs. Nº 20180426057</t>
  </si>
  <si>
    <t>217101106</t>
  </si>
  <si>
    <t>217101198</t>
  </si>
  <si>
    <t>Intereses a Pagar LP</t>
  </si>
  <si>
    <t>217101199</t>
  </si>
  <si>
    <t>Intereses a Vencer LP</t>
  </si>
  <si>
    <t>217101201</t>
  </si>
  <si>
    <t>Prést Bancario-Nº 20180102050</t>
  </si>
  <si>
    <t>2181</t>
  </si>
  <si>
    <t>GANANCIAS A REALIZAR</t>
  </si>
  <si>
    <t>218101</t>
  </si>
  <si>
    <t>GANANCIAS A REALIZAR CONSIGNAC</t>
  </si>
  <si>
    <t>218101002</t>
  </si>
  <si>
    <t>3</t>
  </si>
  <si>
    <t>PATRIMONIO NETO</t>
  </si>
  <si>
    <t>31</t>
  </si>
  <si>
    <t>3101</t>
  </si>
  <si>
    <t>CAPITAL, RESERVAS Y RESULTADOS</t>
  </si>
  <si>
    <t>310101</t>
  </si>
  <si>
    <t>CAPITAL</t>
  </si>
  <si>
    <t>310101011</t>
  </si>
  <si>
    <t>Capital Integrado</t>
  </si>
  <si>
    <t>310121</t>
  </si>
  <si>
    <t>RESERVAS</t>
  </si>
  <si>
    <t>310121001</t>
  </si>
  <si>
    <t>Reserva Legal</t>
  </si>
  <si>
    <t>310121011</t>
  </si>
  <si>
    <t>Reserva Reval£o Ley 125/91</t>
  </si>
  <si>
    <t>310131</t>
  </si>
  <si>
    <t>RESULTADOS</t>
  </si>
  <si>
    <t>310131001</t>
  </si>
  <si>
    <t>Resultados Ejerc.Anteriores</t>
  </si>
  <si>
    <t>310131002</t>
  </si>
  <si>
    <t>TOTAL</t>
  </si>
  <si>
    <t>RESULTADO DEL EJERCICIO</t>
  </si>
  <si>
    <t>4</t>
  </si>
  <si>
    <t>CUENTAS DE INGRESOS</t>
  </si>
  <si>
    <t>41</t>
  </si>
  <si>
    <t>INGRESOS OPERATIVOS</t>
  </si>
  <si>
    <t>4101</t>
  </si>
  <si>
    <t>INGRESOS NETOS INTRUMENTOS</t>
  </si>
  <si>
    <t>410101</t>
  </si>
  <si>
    <t>VENTA DE INSTRUMENTOS</t>
  </si>
  <si>
    <t>410101001</t>
  </si>
  <si>
    <t>Instrumentos EX articulos E</t>
  </si>
  <si>
    <t>410101002</t>
  </si>
  <si>
    <t>Instrumentos IVA 1,5 articT</t>
  </si>
  <si>
    <t>410101003</t>
  </si>
  <si>
    <t>Instrumentos  GR IVA 10%</t>
  </si>
  <si>
    <t>410101004</t>
  </si>
  <si>
    <t>InstrumentosEX artesanal</t>
  </si>
  <si>
    <t>410102</t>
  </si>
  <si>
    <t>COSTO DE INSTRUMENTOS</t>
  </si>
  <si>
    <t>410102001</t>
  </si>
  <si>
    <t>InstrumentosEX IVA art E costo</t>
  </si>
  <si>
    <t>410102002</t>
  </si>
  <si>
    <t>InstrumentosIVA 1,5 art Tcosto</t>
  </si>
  <si>
    <t>410102003</t>
  </si>
  <si>
    <t>Instrumentos  GR   IVA costo</t>
  </si>
  <si>
    <t>410102004</t>
  </si>
  <si>
    <t>Instumentos EX Artesanal costo</t>
  </si>
  <si>
    <t>4102</t>
  </si>
  <si>
    <t>INGRESOS DE ACC. P/INSTRUMEN.</t>
  </si>
  <si>
    <t>410201</t>
  </si>
  <si>
    <t>VENTA DE ACC. P/INSTRUMENTOS</t>
  </si>
  <si>
    <t>410201001</t>
  </si>
  <si>
    <t>Acc.p/Instrum. EX   IVA   RTA</t>
  </si>
  <si>
    <t>410201002</t>
  </si>
  <si>
    <t>Acc.p/Instrum. EX   IVA</t>
  </si>
  <si>
    <t>410201003</t>
  </si>
  <si>
    <t>Acc.p/Instrum. GR  IVA 10% vta</t>
  </si>
  <si>
    <t>410202</t>
  </si>
  <si>
    <t>COSTO DE ACC. P/INSTRUMENTOS</t>
  </si>
  <si>
    <t>410202001</t>
  </si>
  <si>
    <t>Acc.p/Instrum. EX   IVA Costo</t>
  </si>
  <si>
    <t>410202002</t>
  </si>
  <si>
    <t>Acc.p/Instrum. EX   IVA costo</t>
  </si>
  <si>
    <t>410202003</t>
  </si>
  <si>
    <t>Acc.p/Instrum. GR  IVA costo</t>
  </si>
  <si>
    <t>4103</t>
  </si>
  <si>
    <t>INGRESOS DE REPUESTOS</t>
  </si>
  <si>
    <t>410301</t>
  </si>
  <si>
    <t>VENTA DE REPUESTOS</t>
  </si>
  <si>
    <t>410301003</t>
  </si>
  <si>
    <t>Repuestos  GR   IVA</t>
  </si>
  <si>
    <t>410302</t>
  </si>
  <si>
    <t>COSTO DE REPUESTOS</t>
  </si>
  <si>
    <t>Repuestos  EX   IVA   RTA cost</t>
  </si>
  <si>
    <t>410302003</t>
  </si>
  <si>
    <t>Repuestos  GR  IVA costo</t>
  </si>
  <si>
    <t>4104</t>
  </si>
  <si>
    <t>INGRESOS DE AUDIO PROFESIONAL</t>
  </si>
  <si>
    <t>410401</t>
  </si>
  <si>
    <t>VENTA DE AUDIO PROFESIONAL</t>
  </si>
  <si>
    <t>410401001</t>
  </si>
  <si>
    <t>Audio Prof. EX   IVAvta</t>
  </si>
  <si>
    <t>410401002</t>
  </si>
  <si>
    <t>Audio Prof. EX   IVA Vta</t>
  </si>
  <si>
    <t>410401003</t>
  </si>
  <si>
    <t>Audio Prof. GR   IVA Vta</t>
  </si>
  <si>
    <t>410402</t>
  </si>
  <si>
    <t>COSTO DE AUDIO PROFESIONAL</t>
  </si>
  <si>
    <t>410402001</t>
  </si>
  <si>
    <t>Audio Prof. EX   IVAcosto</t>
  </si>
  <si>
    <t>410402002</t>
  </si>
  <si>
    <t>Audio Prof. EX   IVA costo</t>
  </si>
  <si>
    <t>410402003</t>
  </si>
  <si>
    <t>Audio Prof. GR  IVAcosto</t>
  </si>
  <si>
    <t>4105</t>
  </si>
  <si>
    <t>INGRESOS DE AUDIO CASERO</t>
  </si>
  <si>
    <t>410501</t>
  </si>
  <si>
    <t>VENTA DE AUDIO CASERO</t>
  </si>
  <si>
    <t>410501001</t>
  </si>
  <si>
    <t>Audio Casero EX art E Vta</t>
  </si>
  <si>
    <t>410501002</t>
  </si>
  <si>
    <t>Audio Casero EX   IVA Vta</t>
  </si>
  <si>
    <t>410501003</t>
  </si>
  <si>
    <t>Audio Casero GR  IVA 10%Vta</t>
  </si>
  <si>
    <t>410502</t>
  </si>
  <si>
    <t>COSTO DE AUDIO CASERO</t>
  </si>
  <si>
    <t>410502001</t>
  </si>
  <si>
    <t>Audio Casero EX   IVA  RTA cos</t>
  </si>
  <si>
    <t>410502002</t>
  </si>
  <si>
    <t>Audio Casero EX   IVA costo</t>
  </si>
  <si>
    <t>410502003</t>
  </si>
  <si>
    <t>Audio Casero GR  IVA costo</t>
  </si>
  <si>
    <t>4150</t>
  </si>
  <si>
    <t>INGRESOS DE CD's</t>
  </si>
  <si>
    <t>415001</t>
  </si>
  <si>
    <t>VENTA DE CD's</t>
  </si>
  <si>
    <t>415001003</t>
  </si>
  <si>
    <t>CD   GR  IVA</t>
  </si>
  <si>
    <t>415002</t>
  </si>
  <si>
    <t>COSTO DE CD's</t>
  </si>
  <si>
    <t>415002003</t>
  </si>
  <si>
    <t>CD   GR  IVA costo</t>
  </si>
  <si>
    <t>4155</t>
  </si>
  <si>
    <t>INGRESOS DE LONG PLAY</t>
  </si>
  <si>
    <t>415501</t>
  </si>
  <si>
    <t>VENTA DE LONG PLAY</t>
  </si>
  <si>
    <t>415501003</t>
  </si>
  <si>
    <t>LP   GR  IVA</t>
  </si>
  <si>
    <t>415502</t>
  </si>
  <si>
    <t>COSTO DE LONG PLAY</t>
  </si>
  <si>
    <t>415502003</t>
  </si>
  <si>
    <t>4157</t>
  </si>
  <si>
    <t>INGRESOS DE DVD's</t>
  </si>
  <si>
    <t>415701</t>
  </si>
  <si>
    <t>VENTA DE DVD's</t>
  </si>
  <si>
    <t>415701003</t>
  </si>
  <si>
    <t>DVD   GR   IVA</t>
  </si>
  <si>
    <t>415702</t>
  </si>
  <si>
    <t>COSTO DE DVD's</t>
  </si>
  <si>
    <t>415702003</t>
  </si>
  <si>
    <t>4159</t>
  </si>
  <si>
    <t>INGRESOS DE LASER DISK</t>
  </si>
  <si>
    <t>415901</t>
  </si>
  <si>
    <t>VENTA DE LASER DISK</t>
  </si>
  <si>
    <t>415901003</t>
  </si>
  <si>
    <t>415902</t>
  </si>
  <si>
    <t>COSTO DE LASER DISK</t>
  </si>
  <si>
    <t>415902003</t>
  </si>
  <si>
    <t>4165</t>
  </si>
  <si>
    <t>INGRESOS DE ARTICULOS VARIOS</t>
  </si>
  <si>
    <t>416501</t>
  </si>
  <si>
    <t>VENTA DE ARTICULOS VARIOS</t>
  </si>
  <si>
    <t>416501002</t>
  </si>
  <si>
    <t>Libros   EX   IVA</t>
  </si>
  <si>
    <t>416501003</t>
  </si>
  <si>
    <t>Art. VARIOS   GR   IVA</t>
  </si>
  <si>
    <t>416502</t>
  </si>
  <si>
    <t>COSTO DE ARTICULOS VARIOS</t>
  </si>
  <si>
    <t>416502002</t>
  </si>
  <si>
    <t>Libros   EX  IVA</t>
  </si>
  <si>
    <t>416502003</t>
  </si>
  <si>
    <t>Art. VARIOS   GR  IVA</t>
  </si>
  <si>
    <t>4170</t>
  </si>
  <si>
    <t>INGRESOS DE SERVICIOS</t>
  </si>
  <si>
    <t>417001</t>
  </si>
  <si>
    <t>VENTA DE SERVICIO TECNICO</t>
  </si>
  <si>
    <t>417001001</t>
  </si>
  <si>
    <t>Cobro de Regalias</t>
  </si>
  <si>
    <t>417001003</t>
  </si>
  <si>
    <t>Venta de servicio Tecnico</t>
  </si>
  <si>
    <t>BEBIDAS  GRAV  VTA</t>
  </si>
  <si>
    <t>COSTO DE SERVICIO TECNICO</t>
  </si>
  <si>
    <t>BEBIDA GRAV Costo</t>
  </si>
  <si>
    <t>4180</t>
  </si>
  <si>
    <t>INGRESOS NETOS DE LA  ACADEMIA</t>
  </si>
  <si>
    <t>418001</t>
  </si>
  <si>
    <t>VENTA DE CURSOS</t>
  </si>
  <si>
    <t>418001002</t>
  </si>
  <si>
    <t>Enseñanza de Org. Keyboard</t>
  </si>
  <si>
    <t>418001007</t>
  </si>
  <si>
    <t>Enseñanza de Piano</t>
  </si>
  <si>
    <t>418001008</t>
  </si>
  <si>
    <t>Enseñanza de Guitarra</t>
  </si>
  <si>
    <t>418001010</t>
  </si>
  <si>
    <t>Enseñanza de Bater¡a</t>
  </si>
  <si>
    <t>418001050</t>
  </si>
  <si>
    <t>Enseñanza de Vocalización</t>
  </si>
  <si>
    <t>Derecho de Examen</t>
  </si>
  <si>
    <t>4185</t>
  </si>
  <si>
    <t>INGRESOS DEL VIDEO CLUB</t>
  </si>
  <si>
    <t>418510</t>
  </si>
  <si>
    <t>VENTA DE VHS VIDEO CLUB</t>
  </si>
  <si>
    <t>418510003</t>
  </si>
  <si>
    <t>Cobro por entrega de U$ efecti</t>
  </si>
  <si>
    <t>44</t>
  </si>
  <si>
    <t>INGRESOS EXTRAORDINARIOS</t>
  </si>
  <si>
    <t>4401</t>
  </si>
  <si>
    <t>INGRESOS EXTRAORD.</t>
  </si>
  <si>
    <t>440111</t>
  </si>
  <si>
    <t>INGRESOS/EGRESOS NO OPERATIVOS</t>
  </si>
  <si>
    <t>Descuentos Obtenidos</t>
  </si>
  <si>
    <t>Publicidad en Redes</t>
  </si>
  <si>
    <t>440111091</t>
  </si>
  <si>
    <t>5</t>
  </si>
  <si>
    <t>CUENTAS DE EGRESOS</t>
  </si>
  <si>
    <t>52</t>
  </si>
  <si>
    <t>GASTOS ORDINARIOS</t>
  </si>
  <si>
    <t>5201</t>
  </si>
  <si>
    <t>GASTOS OPERATIVOS</t>
  </si>
  <si>
    <t>520101</t>
  </si>
  <si>
    <t>GASTOS DE VENTAS</t>
  </si>
  <si>
    <t>520101011</t>
  </si>
  <si>
    <t>Sueldos Personal de Ventas</t>
  </si>
  <si>
    <t>520101041</t>
  </si>
  <si>
    <t>Bonificacion Familiar</t>
  </si>
  <si>
    <t>520101061</t>
  </si>
  <si>
    <t>520101068</t>
  </si>
  <si>
    <t>Aguinaldos</t>
  </si>
  <si>
    <t>520101073</t>
  </si>
  <si>
    <t>Tarj.de Credito Comision -POS</t>
  </si>
  <si>
    <t>520101074</t>
  </si>
  <si>
    <t>Envoltorio p/Mercader.</t>
  </si>
  <si>
    <t>520101077</t>
  </si>
  <si>
    <t>Expensas Comunes</t>
  </si>
  <si>
    <t>520101079</t>
  </si>
  <si>
    <t>Combustibles y Lubric.</t>
  </si>
  <si>
    <t>Agua</t>
  </si>
  <si>
    <t>520101092</t>
  </si>
  <si>
    <t>Fletes</t>
  </si>
  <si>
    <t>520101094</t>
  </si>
  <si>
    <t>Comision PAGOPAR</t>
  </si>
  <si>
    <t>520101150</t>
  </si>
  <si>
    <t>Gastos de la Academia</t>
  </si>
  <si>
    <t>520101168</t>
  </si>
  <si>
    <t>Papelería e Impresos</t>
  </si>
  <si>
    <t>520101201</t>
  </si>
  <si>
    <t>Cafetería y Art.de Limpieza</t>
  </si>
  <si>
    <t>520101202</t>
  </si>
  <si>
    <t>Servicio de Limpieza</t>
  </si>
  <si>
    <t>520101204</t>
  </si>
  <si>
    <t>Gastos Sanitarios Covid19</t>
  </si>
  <si>
    <t>520101221</t>
  </si>
  <si>
    <t>Movilidad y Viatico</t>
  </si>
  <si>
    <t>520101246</t>
  </si>
  <si>
    <t>Iluminación y Mat.eléctricos</t>
  </si>
  <si>
    <t>520101249</t>
  </si>
  <si>
    <t>Servicio de Seguridad</t>
  </si>
  <si>
    <t>520101250</t>
  </si>
  <si>
    <t>Gastos Varios de Ventas</t>
  </si>
  <si>
    <t>Rep. y Mant. de Equipos</t>
  </si>
  <si>
    <t>520111</t>
  </si>
  <si>
    <t>GASTOS DE ADMINISTRACION</t>
  </si>
  <si>
    <t>520111001</t>
  </si>
  <si>
    <t>Remunerac.al Personal Superi</t>
  </si>
  <si>
    <t>520111011</t>
  </si>
  <si>
    <t>Sueldos Personal Administrativ</t>
  </si>
  <si>
    <t>520111041</t>
  </si>
  <si>
    <t>520111081</t>
  </si>
  <si>
    <t>Honorarios Profesionales</t>
  </si>
  <si>
    <t>520111082</t>
  </si>
  <si>
    <t>Comision por Cobranza</t>
  </si>
  <si>
    <t>520111123</t>
  </si>
  <si>
    <t>Insumos de Equipos Informati</t>
  </si>
  <si>
    <t>520111125</t>
  </si>
  <si>
    <t>Gastos de Informatica</t>
  </si>
  <si>
    <t>520111160</t>
  </si>
  <si>
    <t>Uniforme del Personal</t>
  </si>
  <si>
    <t>520111181</t>
  </si>
  <si>
    <t>520111182</t>
  </si>
  <si>
    <t>Electricidad</t>
  </si>
  <si>
    <t>520111183</t>
  </si>
  <si>
    <t>Gastos de Comunicación</t>
  </si>
  <si>
    <t>520111192</t>
  </si>
  <si>
    <t>Cuotas y Suscripciones</t>
  </si>
  <si>
    <t>520111211</t>
  </si>
  <si>
    <t>Local Alquilado</t>
  </si>
  <si>
    <t>520111215</t>
  </si>
  <si>
    <t>520111241</t>
  </si>
  <si>
    <t>Correos y Encomiendas</t>
  </si>
  <si>
    <t>520111250</t>
  </si>
  <si>
    <t>520115</t>
  </si>
  <si>
    <t>FONDO FIJO ADMINISTRACION</t>
  </si>
  <si>
    <t>520115008</t>
  </si>
  <si>
    <t>Fotocopias</t>
  </si>
  <si>
    <t>520115010</t>
  </si>
  <si>
    <t>Utiles de Oficina</t>
  </si>
  <si>
    <t>520115014</t>
  </si>
  <si>
    <t>520115025</t>
  </si>
  <si>
    <t>Rep. y Mant. de Rodados</t>
  </si>
  <si>
    <t>5211</t>
  </si>
  <si>
    <t>PUBLICIDAD Y PROPAGANDA</t>
  </si>
  <si>
    <t>521101</t>
  </si>
  <si>
    <t>MEDIOS MOTORES</t>
  </si>
  <si>
    <t>521101021</t>
  </si>
  <si>
    <t>Publicidad Escrita</t>
  </si>
  <si>
    <t>521110</t>
  </si>
  <si>
    <t>MUSIC CLUB</t>
  </si>
  <si>
    <t>521110063</t>
  </si>
  <si>
    <t>521121</t>
  </si>
  <si>
    <t>EVENTOS</t>
  </si>
  <si>
    <t>521121021</t>
  </si>
  <si>
    <t>Servicios de Terceros</t>
  </si>
  <si>
    <t>521151</t>
  </si>
  <si>
    <t>OTROS GASTOS PUBLICITARIOS</t>
  </si>
  <si>
    <t>521151031</t>
  </si>
  <si>
    <t>Promociones</t>
  </si>
  <si>
    <t>53</t>
  </si>
  <si>
    <t>OTROS GASTOS ORDINARIOS</t>
  </si>
  <si>
    <t>5301</t>
  </si>
  <si>
    <t>IMPUESTOS</t>
  </si>
  <si>
    <t>530101</t>
  </si>
  <si>
    <t>IMPUESTOS INDIRECTOS</t>
  </si>
  <si>
    <t>530101001</t>
  </si>
  <si>
    <t>Patentes Municipales</t>
  </si>
  <si>
    <t>530101011</t>
  </si>
  <si>
    <t>Tasas Municipales</t>
  </si>
  <si>
    <t>530101091</t>
  </si>
  <si>
    <t>Impuestos Varios</t>
  </si>
  <si>
    <t>530101092</t>
  </si>
  <si>
    <t>IVA - Gastos</t>
  </si>
  <si>
    <t>5308</t>
  </si>
  <si>
    <t>SEGUROS</t>
  </si>
  <si>
    <t>530801</t>
  </si>
  <si>
    <t>Seguros</t>
  </si>
  <si>
    <t>54</t>
  </si>
  <si>
    <t>EGRESOS EXTRAORDINARIOS</t>
  </si>
  <si>
    <t>5401</t>
  </si>
  <si>
    <t>540101</t>
  </si>
  <si>
    <t>EGRESOS FINANCIEROS</t>
  </si>
  <si>
    <t>540101002</t>
  </si>
  <si>
    <t>Intereses Pagados Gs.</t>
  </si>
  <si>
    <t>540101011</t>
  </si>
  <si>
    <t>Comisiones Bancarias</t>
  </si>
  <si>
    <t>540111</t>
  </si>
  <si>
    <t>EGRESOS NO OPERATIVOS</t>
  </si>
  <si>
    <t>540111001</t>
  </si>
  <si>
    <t>Diferenc. en Cambio - Negativa</t>
  </si>
  <si>
    <t>540111150</t>
  </si>
  <si>
    <t>Donaciones y Contribuciones</t>
  </si>
  <si>
    <t>CONTROL DE BALANCEO</t>
  </si>
  <si>
    <t>Estados de Resultado; Flujo de Efectivo y Evolucion del Patrimonio Neto comparativo con igual periodo del ejercicio anterior</t>
  </si>
  <si>
    <t>Regalias de Yamaha</t>
  </si>
  <si>
    <t>Prest. Cap Itau Gs CP</t>
  </si>
  <si>
    <t>Prest. Cap Basa Gs 30221212029 CP</t>
  </si>
  <si>
    <t>Prést Banc Nº90244293 - Capita</t>
  </si>
  <si>
    <t>INMUEBLE</t>
  </si>
  <si>
    <t>EDIFICIO EMPERADOR FDO. DE LA MORA</t>
  </si>
  <si>
    <t>HIPOTECARIA</t>
  </si>
  <si>
    <t>BANCO ITAU S.A.</t>
  </si>
  <si>
    <t>TERRENO FERNANDO DE LA MORA. FINCA Nº 18980</t>
  </si>
  <si>
    <t>110101029</t>
  </si>
  <si>
    <t>Recaudacion a dep.  (US$)</t>
  </si>
  <si>
    <t>Banco Atlas CtaCte U$D1251487</t>
  </si>
  <si>
    <t>Sudameris Bank 3841434U$ Mcal</t>
  </si>
  <si>
    <t>Sudameris Bank 3841442 u$Km5</t>
  </si>
  <si>
    <t>Sudameris Bank 3841459 u$Tte.F</t>
  </si>
  <si>
    <t>Sudameris Bank 3841467u$Aviado</t>
  </si>
  <si>
    <t>Sudameris Bank 3841475 u$Rahal</t>
  </si>
  <si>
    <t>Sudameris Bank Gs 3841434Maris</t>
  </si>
  <si>
    <t>Sudameris bank Gs 3841442Multi</t>
  </si>
  <si>
    <t>Sudameris Bank Gs 3841459 TteF</t>
  </si>
  <si>
    <t>Sudameris Bank Gs 3841467 Avia</t>
  </si>
  <si>
    <t>SudamerisBank Gs 2841475 Rahal</t>
  </si>
  <si>
    <t>Banco ATLAS CtaCte Gs.1243321</t>
  </si>
  <si>
    <t>Interfisa Gs. C.C. 5-0001125</t>
  </si>
  <si>
    <t>Clientes Credito Guaranies</t>
  </si>
  <si>
    <t>Clientes Credito Dolares</t>
  </si>
  <si>
    <t>110201010</t>
  </si>
  <si>
    <t>Cheques Diferidos Gs</t>
  </si>
  <si>
    <t>110201031</t>
  </si>
  <si>
    <t>Tarjetas de Credito</t>
  </si>
  <si>
    <t>IVA - Crédito Fiscal</t>
  </si>
  <si>
    <t>Retencion de terceros IVA E.T.</t>
  </si>
  <si>
    <t>110231004</t>
  </si>
  <si>
    <t>Anticipo Personal Superior</t>
  </si>
  <si>
    <t>Audio Prof.  EX  IVA art E</t>
  </si>
  <si>
    <t>Audio Prof.  EX  IVA</t>
  </si>
  <si>
    <t>Audio Prof.  GR  IVA</t>
  </si>
  <si>
    <t>Audio Casero - EX  IVA</t>
  </si>
  <si>
    <t>CD  EX  IVA</t>
  </si>
  <si>
    <t>Edific Fernando de la Mora</t>
  </si>
  <si>
    <t>210101031</t>
  </si>
  <si>
    <t>Prov.Entidades de Tarjeta de C</t>
  </si>
  <si>
    <t>210101041</t>
  </si>
  <si>
    <t>Prov. de Serv.de Import Gs</t>
  </si>
  <si>
    <t>210101042</t>
  </si>
  <si>
    <t>Prov. de Serv.de Import u$</t>
  </si>
  <si>
    <t>210101094</t>
  </si>
  <si>
    <t>Prov. Financieros</t>
  </si>
  <si>
    <t>Sub Secretaria de Tributacion</t>
  </si>
  <si>
    <t>211101107</t>
  </si>
  <si>
    <t>Prest. Itau 608121</t>
  </si>
  <si>
    <t>217101103</t>
  </si>
  <si>
    <t>Prést. Cap Gs. 20180426057</t>
  </si>
  <si>
    <t>217101107</t>
  </si>
  <si>
    <t>218101004</t>
  </si>
  <si>
    <t>Cuentas a Regularizar - Pasivo</t>
  </si>
  <si>
    <t>4161</t>
  </si>
  <si>
    <t>INGRESOS DE VHS's</t>
  </si>
  <si>
    <t>416101</t>
  </si>
  <si>
    <t>VENTA DE VHS's</t>
  </si>
  <si>
    <t>416101003</t>
  </si>
  <si>
    <t>ART.VARIOS P/INST.VTA</t>
  </si>
  <si>
    <t>417001004</t>
  </si>
  <si>
    <t>venta reembolso  promociones</t>
  </si>
  <si>
    <t>417001005</t>
  </si>
  <si>
    <t>Venta Servicio Delivery</t>
  </si>
  <si>
    <t>418001009</t>
  </si>
  <si>
    <t>Enseñanza de Bajo (Guitarra)</t>
  </si>
  <si>
    <t>418001016</t>
  </si>
  <si>
    <t>Enseñanza Violin</t>
  </si>
  <si>
    <t>440101</t>
  </si>
  <si>
    <t>INGRESOS FINANCIEROS</t>
  </si>
  <si>
    <t>440101001</t>
  </si>
  <si>
    <t>440111001</t>
  </si>
  <si>
    <t>Diferencia en Cambio</t>
  </si>
  <si>
    <t>440111092</t>
  </si>
  <si>
    <t>520101021</t>
  </si>
  <si>
    <t>520101085</t>
  </si>
  <si>
    <t>Comisión s/Ventas</t>
  </si>
  <si>
    <t>520101095</t>
  </si>
  <si>
    <t>Gastos de Financiamiento</t>
  </si>
  <si>
    <t>520101219</t>
  </si>
  <si>
    <t>Gastos de Inventario</t>
  </si>
  <si>
    <t>520111251</t>
  </si>
  <si>
    <t>Salarios GND</t>
  </si>
  <si>
    <t>520115015</t>
  </si>
  <si>
    <t>Rep. y Mant. de Local Edif.</t>
  </si>
  <si>
    <t>520115016</t>
  </si>
  <si>
    <t>Iluminacion y Mat. Electricos</t>
  </si>
  <si>
    <t>521101010</t>
  </si>
  <si>
    <t>521101031</t>
  </si>
  <si>
    <t>Publicidad en el punto de Vent</t>
  </si>
  <si>
    <t>521101041</t>
  </si>
  <si>
    <t>Publiciada Via Publica</t>
  </si>
  <si>
    <t>521131</t>
  </si>
  <si>
    <t>VIA PUBLICA</t>
  </si>
  <si>
    <t>521131001</t>
  </si>
  <si>
    <t>Carteles</t>
  </si>
  <si>
    <t>530101093</t>
  </si>
  <si>
    <t>IVA - COSTO</t>
  </si>
  <si>
    <t>5302</t>
  </si>
  <si>
    <t>DEPRECIACION</t>
  </si>
  <si>
    <t>530201</t>
  </si>
  <si>
    <t>Depreciacion del Activo Fijo</t>
  </si>
  <si>
    <t>530202</t>
  </si>
  <si>
    <t>Amortizaciones del Ejercicio</t>
  </si>
  <si>
    <t>5303</t>
  </si>
  <si>
    <t>NO DEDUCIBLES DIRECTOS</t>
  </si>
  <si>
    <t>Gastos No Deducibles</t>
  </si>
  <si>
    <t>110101005</t>
  </si>
  <si>
    <t>Banco Basa Gs. 210000237/3</t>
  </si>
  <si>
    <t>110201008</t>
  </si>
  <si>
    <t>Clientes Contado</t>
  </si>
  <si>
    <t>110201041</t>
  </si>
  <si>
    <t>Cheques Devueltos</t>
  </si>
  <si>
    <t>110211021</t>
  </si>
  <si>
    <t>Anticip.Varios</t>
  </si>
  <si>
    <t>Otros gastos pagados p/Adelant</t>
  </si>
  <si>
    <t>IMPORTACIONES EN CURSO</t>
  </si>
  <si>
    <t>Recepcion Importacion</t>
  </si>
  <si>
    <t>Edif.Av. España CCC14-0011-62</t>
  </si>
  <si>
    <t>Obras en Curso</t>
  </si>
  <si>
    <t>210101100</t>
  </si>
  <si>
    <t>210101101</t>
  </si>
  <si>
    <t>210101102</t>
  </si>
  <si>
    <t>Ingresos Facturados Diferidos</t>
  </si>
  <si>
    <t>Prést. Cap Gs ITAU 90303392 CP</t>
  </si>
  <si>
    <t>Prest. Cap Basa 20220214044 CP</t>
  </si>
  <si>
    <t>310121012</t>
  </si>
  <si>
    <t>Revalúo Técnico</t>
  </si>
  <si>
    <t>310121013</t>
  </si>
  <si>
    <t>COSTO DE VHS's</t>
  </si>
  <si>
    <t>ART.VARIOS P/INST COSTO</t>
  </si>
  <si>
    <t>Retencion Ley N°2051 DNCP</t>
  </si>
  <si>
    <t>Insumos de Equiposde Instalaci</t>
  </si>
  <si>
    <t>521110064</t>
  </si>
  <si>
    <t>Tributos Aduaneros en Sumario</t>
  </si>
  <si>
    <t>Reserva del periodo</t>
  </si>
  <si>
    <t>Resultado</t>
  </si>
  <si>
    <t>Banco Basa u$ 1210000087/9</t>
  </si>
  <si>
    <t>Financ Ueno C. Ah Gs 61989772</t>
  </si>
  <si>
    <t>Retencion IVA</t>
  </si>
  <si>
    <t>Préstamos a los Socios</t>
  </si>
  <si>
    <t>Cuentas a cobrar comerciales -</t>
  </si>
  <si>
    <t>520101022</t>
  </si>
  <si>
    <t>Rep. y Mant. de Equipos Inform</t>
  </si>
  <si>
    <t>520101069</t>
  </si>
  <si>
    <t>Comision s/Ventas Variable</t>
  </si>
  <si>
    <t>520101070</t>
  </si>
  <si>
    <t>Premio y Gratificaciones</t>
  </si>
  <si>
    <t>520101102</t>
  </si>
  <si>
    <t>Regalias Academia Yamaha</t>
  </si>
  <si>
    <t>520101218</t>
  </si>
  <si>
    <t>Asesorias - Consultorias</t>
  </si>
  <si>
    <t>520101231</t>
  </si>
  <si>
    <t>520110</t>
  </si>
  <si>
    <t>FONDOS FIJOS   VENTAS</t>
  </si>
  <si>
    <t>520110015</t>
  </si>
  <si>
    <t>Rep. y Mant. del Local</t>
  </si>
  <si>
    <t>520110021</t>
  </si>
  <si>
    <t>520111061</t>
  </si>
  <si>
    <t>520111067</t>
  </si>
  <si>
    <t>520111071</t>
  </si>
  <si>
    <t>520111194</t>
  </si>
  <si>
    <t>Gastos Festejo Dia del Trabajo</t>
  </si>
  <si>
    <t>520111243</t>
  </si>
  <si>
    <t>Gtos. de Representación</t>
  </si>
  <si>
    <t>520111247</t>
  </si>
  <si>
    <t>Viajes al Exterior</t>
  </si>
  <si>
    <t>520115012</t>
  </si>
  <si>
    <t>Legalizaciones</t>
  </si>
  <si>
    <t>521101042</t>
  </si>
  <si>
    <t>Otros Gastos Publicitarios</t>
  </si>
  <si>
    <t>521110051</t>
  </si>
  <si>
    <t>Descuentos Conced. Music Money</t>
  </si>
  <si>
    <t>521110054</t>
  </si>
  <si>
    <t>Descuentos de Libros</t>
  </si>
  <si>
    <t>521110057</t>
  </si>
  <si>
    <t>Descuentos Instrumentos</t>
  </si>
  <si>
    <t>530101021</t>
  </si>
  <si>
    <t>Multas y Recargos</t>
  </si>
  <si>
    <t>540101001</t>
  </si>
  <si>
    <t>Intereses Bancarios</t>
  </si>
  <si>
    <t>Flete</t>
  </si>
  <si>
    <t>Gastos de Decoración</t>
  </si>
  <si>
    <t>Retencion Renta GND</t>
  </si>
  <si>
    <t>Tarjeta de Credito Comisiones POS</t>
  </si>
  <si>
    <t>CREDITOS SOCIALES</t>
  </si>
  <si>
    <t>Repuestos  EX  IVA   RTA</t>
  </si>
  <si>
    <t>CD   EX   IVA</t>
  </si>
  <si>
    <t>CD   EX   IVA costo</t>
  </si>
  <si>
    <t>Mano de obra y/o Asistencia Te</t>
  </si>
  <si>
    <t>Costo de ServicioTécnico o AT</t>
  </si>
  <si>
    <t>COSTOS DE DVD</t>
  </si>
  <si>
    <t>Costo de regaliasYamaha /Music</t>
  </si>
  <si>
    <t>Repuestos  EX   IVA</t>
  </si>
  <si>
    <t>Repuestos  EX   IVA costo</t>
  </si>
  <si>
    <t>Regalias academia yamaha</t>
  </si>
  <si>
    <t>Herram e Insumos p/ServTecnico</t>
  </si>
  <si>
    <t>Itau Invest CC usd 150009560</t>
  </si>
  <si>
    <t>h</t>
  </si>
  <si>
    <t>Siniestros a Recuperar</t>
  </si>
  <si>
    <t>IFSA a Cobrar</t>
  </si>
  <si>
    <t>Mejoras en propiedad de terceros</t>
  </si>
  <si>
    <t>110101003</t>
  </si>
  <si>
    <t>110101011</t>
  </si>
  <si>
    <t>Fondo Fijo Administracion</t>
  </si>
  <si>
    <t>Sudameris Bank Gs. 166711/2 CA</t>
  </si>
  <si>
    <t>110121002</t>
  </si>
  <si>
    <t>Interfisa Bco U$60000354</t>
  </si>
  <si>
    <t>110221009</t>
  </si>
  <si>
    <t>110221010</t>
  </si>
  <si>
    <t>Retencion IMP RENTA Aduana</t>
  </si>
  <si>
    <t>110221011</t>
  </si>
  <si>
    <t>110221012</t>
  </si>
  <si>
    <t>110221014</t>
  </si>
  <si>
    <t>110231011</t>
  </si>
  <si>
    <t>110233</t>
  </si>
  <si>
    <t>110233001</t>
  </si>
  <si>
    <t>110251011</t>
  </si>
  <si>
    <t>110251019</t>
  </si>
  <si>
    <t>110251021</t>
  </si>
  <si>
    <t>110251022</t>
  </si>
  <si>
    <t>110251023</t>
  </si>
  <si>
    <t>110251024</t>
  </si>
  <si>
    <t>110301001</t>
  </si>
  <si>
    <t>110301002</t>
  </si>
  <si>
    <t>110301003</t>
  </si>
  <si>
    <t>110301004</t>
  </si>
  <si>
    <t>110302001</t>
  </si>
  <si>
    <t>110302002</t>
  </si>
  <si>
    <t>110302003</t>
  </si>
  <si>
    <t>110303001</t>
  </si>
  <si>
    <t>110303002</t>
  </si>
  <si>
    <t>110303003</t>
  </si>
  <si>
    <t>110304</t>
  </si>
  <si>
    <t>110304001</t>
  </si>
  <si>
    <t>110304002</t>
  </si>
  <si>
    <t>110304003</t>
  </si>
  <si>
    <t>110305001</t>
  </si>
  <si>
    <t>110305002</t>
  </si>
  <si>
    <t>110305003</t>
  </si>
  <si>
    <t>110306006</t>
  </si>
  <si>
    <t>110306007</t>
  </si>
  <si>
    <t>110350003</t>
  </si>
  <si>
    <t>110352002</t>
  </si>
  <si>
    <t>110352003</t>
  </si>
  <si>
    <t>110355002</t>
  </si>
  <si>
    <t>110355003</t>
  </si>
  <si>
    <t>110357001</t>
  </si>
  <si>
    <t>110357002</t>
  </si>
  <si>
    <t>110357003</t>
  </si>
  <si>
    <t>110357103</t>
  </si>
  <si>
    <t>110359003</t>
  </si>
  <si>
    <t>110361</t>
  </si>
  <si>
    <t>110361003</t>
  </si>
  <si>
    <t>110365</t>
  </si>
  <si>
    <t>110391</t>
  </si>
  <si>
    <t>120101001</t>
  </si>
  <si>
    <t>120101211</t>
  </si>
  <si>
    <t>120102</t>
  </si>
  <si>
    <t>120102001</t>
  </si>
  <si>
    <t>120102002</t>
  </si>
  <si>
    <t>120103</t>
  </si>
  <si>
    <t>120103001</t>
  </si>
  <si>
    <t>120103002</t>
  </si>
  <si>
    <t>120111</t>
  </si>
  <si>
    <t>120111001</t>
  </si>
  <si>
    <t>120111010</t>
  </si>
  <si>
    <t>120115</t>
  </si>
  <si>
    <t>120115011</t>
  </si>
  <si>
    <t>120115012</t>
  </si>
  <si>
    <t>120115013</t>
  </si>
  <si>
    <t>120115014</t>
  </si>
  <si>
    <t>120115015</t>
  </si>
  <si>
    <t>120117</t>
  </si>
  <si>
    <t>120117001</t>
  </si>
  <si>
    <t>120117002</t>
  </si>
  <si>
    <t>120119</t>
  </si>
  <si>
    <t>120119001</t>
  </si>
  <si>
    <t>120120001</t>
  </si>
  <si>
    <t>120120002</t>
  </si>
  <si>
    <t>120120003</t>
  </si>
  <si>
    <t>121112001</t>
  </si>
  <si>
    <t>121112002</t>
  </si>
  <si>
    <t>121112003</t>
  </si>
  <si>
    <t>121112004</t>
  </si>
  <si>
    <t>121112011</t>
  </si>
  <si>
    <t>121112012</t>
  </si>
  <si>
    <t>121113003</t>
  </si>
  <si>
    <t>121113005</t>
  </si>
  <si>
    <t>121113006</t>
  </si>
  <si>
    <t>210121009</t>
  </si>
  <si>
    <t>210121031</t>
  </si>
  <si>
    <t>210121041</t>
  </si>
  <si>
    <t>Prest. Cap Valores Casa de Bol</t>
  </si>
  <si>
    <t>211101202</t>
  </si>
  <si>
    <t>Prest. Capital Itau CP</t>
  </si>
  <si>
    <t>Prest. Cap Basa 30221212029 CP</t>
  </si>
  <si>
    <t>217101108</t>
  </si>
  <si>
    <t>410301001</t>
  </si>
  <si>
    <t>410302002</t>
  </si>
  <si>
    <t>416102</t>
  </si>
  <si>
    <t>416102003</t>
  </si>
  <si>
    <t>417001008</t>
  </si>
  <si>
    <t>440101091</t>
  </si>
  <si>
    <t>440111093</t>
  </si>
  <si>
    <t>Otros Ingresos Academia</t>
  </si>
  <si>
    <t>520111155</t>
  </si>
  <si>
    <t>520111193</t>
  </si>
  <si>
    <t>Gastos de Festejos</t>
  </si>
  <si>
    <t>521110060</t>
  </si>
  <si>
    <t>Descuentos Music School</t>
  </si>
  <si>
    <t>530306</t>
  </si>
  <si>
    <t>110231001</t>
  </si>
  <si>
    <t>211101203</t>
  </si>
  <si>
    <t>211101204</t>
  </si>
  <si>
    <t>417001007</t>
  </si>
  <si>
    <t>417002</t>
  </si>
  <si>
    <t>417002007</t>
  </si>
  <si>
    <t>418001080</t>
  </si>
  <si>
    <t>520115023</t>
  </si>
  <si>
    <t>521131005</t>
  </si>
  <si>
    <t>Excibidores</t>
  </si>
  <si>
    <t>521141</t>
  </si>
  <si>
    <t>OBSEQUIOS</t>
  </si>
  <si>
    <t>521141001</t>
  </si>
  <si>
    <t>Productospara demostraciones</t>
  </si>
  <si>
    <t>110221001</t>
  </si>
  <si>
    <t>410301002</t>
  </si>
  <si>
    <t>417001006</t>
  </si>
  <si>
    <t>BEBIDAS  EXC VTA</t>
  </si>
  <si>
    <t>417002006</t>
  </si>
  <si>
    <t>BEBIDAS EXC  Costo</t>
  </si>
  <si>
    <t>418001017</t>
  </si>
  <si>
    <t>520101191</t>
  </si>
  <si>
    <t>520101251</t>
  </si>
  <si>
    <t>Préstamo de Terceros</t>
  </si>
  <si>
    <t>Prest.FICde Finanzas</t>
  </si>
  <si>
    <t>Gastos Teatro Municipal</t>
  </si>
  <si>
    <t>Publicidad Radial</t>
  </si>
  <si>
    <t>Eventos Especiales</t>
  </si>
  <si>
    <t>Perdida Robo Empleado Infiel</t>
  </si>
  <si>
    <t>Remate de Mercaderias</t>
  </si>
  <si>
    <t>RESERVAS E IMPUESTOS</t>
  </si>
  <si>
    <t>IMPUESTOS Y RESERVAS</t>
  </si>
  <si>
    <t>Prest.FICde Finanzas 24643</t>
  </si>
  <si>
    <t>Cheques Emitidos Diferidos</t>
  </si>
  <si>
    <t>Gastos de Eventos</t>
  </si>
  <si>
    <t>Anticip.Varios-Bienes y Serv.</t>
  </si>
  <si>
    <t>Otros Gastos pagados p/Adelant</t>
  </si>
  <si>
    <t>Impuesto a la Renta a Pagar</t>
  </si>
  <si>
    <t>Diseño y Proyectos Music Hall</t>
  </si>
  <si>
    <t>Gastos de Festejo Aniversario</t>
  </si>
  <si>
    <t>Correo y Encomiendas</t>
  </si>
  <si>
    <t>Cafeteria y Limpieza</t>
  </si>
  <si>
    <t>Deudores Incobrables</t>
  </si>
  <si>
    <t>Articulos Varios</t>
  </si>
  <si>
    <t>Art. VARIOS   EX   IVA   RTA</t>
  </si>
  <si>
    <t>AJUSTES SOBRE VENTAS</t>
  </si>
  <si>
    <t>DEVOL., DESCUENTOS Y OTROS</t>
  </si>
  <si>
    <t>Devoluciones de Ventas</t>
  </si>
  <si>
    <t>Otros Egresos No Operativos</t>
  </si>
  <si>
    <t>(-)Devoluciones</t>
  </si>
  <si>
    <t>Inscripción en la Superitendencia de Valores:</t>
  </si>
  <si>
    <t>(En guaraníes)</t>
  </si>
  <si>
    <t>A la fecha de emisión de estos estados financieros, el tipo de cambio de la moneda extranjera en US$ no varió sustancialmente con respecto al vigente al 31 de Diciembre 2023.</t>
  </si>
  <si>
    <t>En  guaranies</t>
  </si>
  <si>
    <t>En guaraníes</t>
  </si>
  <si>
    <t>En guaranies</t>
  </si>
  <si>
    <t>En  guaraníes</t>
  </si>
  <si>
    <t>Importe ( Gs)</t>
  </si>
  <si>
    <t>Importe (Gs)</t>
  </si>
  <si>
    <t>CERTIFICADO DE REGISTRO SIV N° 57_27102023 de Certifico que MUSIC HALL SOCIEDAD ANOMINA EMISORA DE CAPITAL
ABIERTO, con R.U.C. N° 80002910-0, ha sido inscripta en el Registro del Mercado de Valores como Sociedad Anónima Emisora de Capital Abierto, cumpliendo con los requisitos establecidos en la normativa vigente. Fecha de de 27/10/23. Llevará la nomenclatura SAECA</t>
  </si>
  <si>
    <t>AL 31 DE MARZO DE 2024  COMPARATIVO CON 31 DE DICIEMBRE DE 2023</t>
  </si>
  <si>
    <t>NOTAS A LOS ESTADOS FINANCIEROS CORRESPONDIENTES AL PERIODO TERMINADO AL 31 DE MARZO 2024</t>
  </si>
  <si>
    <t>Balance General al 31 de Marzo del 2024 comparativo con el ejercicio cerrado del 2023.</t>
  </si>
  <si>
    <r>
      <t xml:space="preserve">Por el ejercicio anual iniciado el </t>
    </r>
    <r>
      <rPr>
        <b/>
        <sz val="7"/>
        <color indexed="8"/>
        <rFont val="Tahoma"/>
        <family val="2"/>
      </rPr>
      <t xml:space="preserve">1º de Enero de 2024 </t>
    </r>
    <r>
      <rPr>
        <sz val="7"/>
        <color indexed="8"/>
        <rFont val="Tahoma"/>
        <family val="2"/>
      </rPr>
      <t>hasta el</t>
    </r>
    <r>
      <rPr>
        <b/>
        <sz val="7"/>
        <color indexed="8"/>
        <rFont val="Tahoma"/>
        <family val="2"/>
      </rPr>
      <t xml:space="preserve"> 31 de Marzo de 2024</t>
    </r>
    <r>
      <rPr>
        <sz val="7"/>
        <color indexed="8"/>
        <rFont val="Tahoma"/>
        <family val="2"/>
      </rPr>
      <t>, correspondiente al 49°  ejercicio.</t>
    </r>
  </si>
  <si>
    <t>MUSIC HALL SACI</t>
  </si>
  <si>
    <t>Fecha:</t>
  </si>
  <si>
    <t>27/05/2024 05:40:28 p.m.</t>
  </si>
  <si>
    <t>Usuario:</t>
  </si>
  <si>
    <t>DBENITEZ</t>
  </si>
  <si>
    <t>A la fecha: 31/03/2024</t>
  </si>
  <si>
    <t>Ejercicio: 2024   Moneda: Gs.</t>
  </si>
  <si>
    <t xml:space="preserve">  ACTIVO CORRIENTE</t>
  </si>
  <si>
    <t xml:space="preserve">    DISPONIBILIDADES</t>
  </si>
  <si>
    <t xml:space="preserve">      CAJA</t>
  </si>
  <si>
    <t xml:space="preserve">        Fondos p/cambio-Sucursales</t>
  </si>
  <si>
    <t xml:space="preserve">        Valores a Regularizar Gs</t>
  </si>
  <si>
    <t xml:space="preserve">        Caja USD</t>
  </si>
  <si>
    <t xml:space="preserve">        Fondo Fijo Sucursales</t>
  </si>
  <si>
    <t xml:space="preserve">        Fondo Fijo Administracion</t>
  </si>
  <si>
    <t xml:space="preserve">        Fondos a Rendir</t>
  </si>
  <si>
    <t xml:space="preserve">        Recaudaciones a Depositar Gs</t>
  </si>
  <si>
    <t xml:space="preserve">      BANCOS - CTAS.CTES.</t>
  </si>
  <si>
    <t xml:space="preserve">        Itau Cta.CteU$05001313/1</t>
  </si>
  <si>
    <t xml:space="preserve">        Sudameris Bank U$S 10 166711/2</t>
  </si>
  <si>
    <t xml:space="preserve">        Bco Continental  U$01-83074130</t>
  </si>
  <si>
    <t xml:space="preserve">        Sudameris Bank 3841434U$ Mcal</t>
  </si>
  <si>
    <t xml:space="preserve">        Sudameris Bank 3841442 u$Km5</t>
  </si>
  <si>
    <t xml:space="preserve">        Sudameris Bank 3841459 u$Tte.F</t>
  </si>
  <si>
    <t xml:space="preserve">        Sudameris Bank 3841467u$Aviado</t>
  </si>
  <si>
    <t xml:space="preserve">        Sudameris Bank 3841475 u$Rahal</t>
  </si>
  <si>
    <t xml:space="preserve">        Sudameris Bank Gs 3841434Maris</t>
  </si>
  <si>
    <t xml:space="preserve">        Sudameris bank Gs 3841442Multi</t>
  </si>
  <si>
    <t xml:space="preserve">        Banco Continental 01-00817720</t>
  </si>
  <si>
    <t xml:space="preserve">        Sudameris Bank Gs 3841459 TteF</t>
  </si>
  <si>
    <t xml:space="preserve">        Sudameris Bank Gs 3841467 Avia</t>
  </si>
  <si>
    <t xml:space="preserve">        SudamerisBank Gs 2841475 Rahal</t>
  </si>
  <si>
    <t xml:space="preserve">        Banco Basa u$ 1210000087/9</t>
  </si>
  <si>
    <t xml:space="preserve">        Itau Invest CC usd 150009560</t>
  </si>
  <si>
    <t xml:space="preserve">        Caja Ahorro Financiera Pyo Jap</t>
  </si>
  <si>
    <t xml:space="preserve">        Itau Gs 00055675/2</t>
  </si>
  <si>
    <t xml:space="preserve">        Sudameris Bank Gs. 10 166711/2</t>
  </si>
  <si>
    <t xml:space="preserve">        Interfisa Gs. C.C. 5-0001125</t>
  </si>
  <si>
    <t xml:space="preserve">        Banco Basa Gs. 210000237/3</t>
  </si>
  <si>
    <t xml:space="preserve">        Sudameris Bank Gs. 166711/2 CA</t>
  </si>
  <si>
    <t xml:space="preserve">        Ueno Bank C. Ah Gs 61989772</t>
  </si>
  <si>
    <t xml:space="preserve">        Itau Invest CC Gs.101151892</t>
  </si>
  <si>
    <t xml:space="preserve">      BANCOS - CAJAS DE AHORRO</t>
  </si>
  <si>
    <t xml:space="preserve">        Interfisa Bco U$60000354</t>
  </si>
  <si>
    <t xml:space="preserve">    CREDITOS</t>
  </si>
  <si>
    <t xml:space="preserve">        Clientes Credito Guaranies</t>
  </si>
  <si>
    <t xml:space="preserve">        Clientes Credito Dolares</t>
  </si>
  <si>
    <t xml:space="preserve">        Cheques Diferidos U$</t>
  </si>
  <si>
    <t xml:space="preserve">        Cheques Diferidos Gs</t>
  </si>
  <si>
    <t xml:space="preserve">        Tarjetas de Credito</t>
  </si>
  <si>
    <t xml:space="preserve">      ANTICIPOS PAGADOS</t>
  </si>
  <si>
    <t xml:space="preserve">        Anticip.Proveedores Exterior</t>
  </si>
  <si>
    <t xml:space="preserve">      CREDITOS FISCALES</t>
  </si>
  <si>
    <t xml:space="preserve">        IVA - Crédito Fiscal</t>
  </si>
  <si>
    <t xml:space="preserve">        Retencion IVA por 3ros</t>
  </si>
  <si>
    <t xml:space="preserve">        Retencion Imp. a la renta E.T.</t>
  </si>
  <si>
    <t xml:space="preserve">        Retencion IMP RENTA Aduana</t>
  </si>
  <si>
    <t xml:space="preserve">        Anticipo Impuesto a la Renta</t>
  </si>
  <si>
    <t xml:space="preserve">        Tributos en SumarioAduana</t>
  </si>
  <si>
    <t xml:space="preserve">        Prestamos al Personal</t>
  </si>
  <si>
    <t xml:space="preserve">      OTROS CREDITOS</t>
  </si>
  <si>
    <t xml:space="preserve">        Garantía de Alquiler</t>
  </si>
  <si>
    <t xml:space="preserve">        Regalias de Yamaha</t>
  </si>
  <si>
    <t xml:space="preserve">        Intereses a Vencer CP</t>
  </si>
  <si>
    <t xml:space="preserve">        Otros gastos pagados p/Adelant</t>
  </si>
  <si>
    <t xml:space="preserve">        IFSA a Cobrar</t>
  </si>
  <si>
    <t xml:space="preserve">    BIENES DE CAMBIO</t>
  </si>
  <si>
    <t xml:space="preserve">      COMPRA DE INSTRUMENTOS</t>
  </si>
  <si>
    <t xml:space="preserve">        Instrumentos EX  IVA art E</t>
  </si>
  <si>
    <t xml:space="preserve">        Instrumentos   IVA1.5 art T</t>
  </si>
  <si>
    <t xml:space="preserve">        Instrumentos GR  IVA 10%</t>
  </si>
  <si>
    <t xml:space="preserve">      COMPRA DE ACCESORIOS</t>
  </si>
  <si>
    <t xml:space="preserve">        Acc. p/ Instrum. EX IVA</t>
  </si>
  <si>
    <t xml:space="preserve">        Acc. p/ Instrum.  EX  IVA</t>
  </si>
  <si>
    <t xml:space="preserve">        Acc. p/ Instrum.  GR  IVA</t>
  </si>
  <si>
    <t xml:space="preserve">      COMPRA DE REPUESTOS</t>
  </si>
  <si>
    <t xml:space="preserve">        Repuestos p/ Inst EX  IVA</t>
  </si>
  <si>
    <t xml:space="preserve">        Repuestos p/ Inst GR  IVA</t>
  </si>
  <si>
    <t xml:space="preserve">      COMPRA DE AUDIO PROFESIONAL</t>
  </si>
  <si>
    <t xml:space="preserve">        Audio Prof.  EX  IVA art E</t>
  </si>
  <si>
    <t xml:space="preserve">        Audio Prof.  EX  IVA</t>
  </si>
  <si>
    <t xml:space="preserve">        Audio Prof.  GR  IVA</t>
  </si>
  <si>
    <t xml:space="preserve">      COMPRA DE AUDIO CASERO</t>
  </si>
  <si>
    <t xml:space="preserve">        Audio Casero - EX  IVA art E</t>
  </si>
  <si>
    <t xml:space="preserve">        Audio Casero - EX  IVA</t>
  </si>
  <si>
    <t xml:space="preserve">        Audio Casero - GR  IVA</t>
  </si>
  <si>
    <t xml:space="preserve">      COMPRA DE MOTOS</t>
  </si>
  <si>
    <t xml:space="preserve">        BEBIDA EXC compra</t>
  </si>
  <si>
    <t xml:space="preserve">        BEBIDA GRAV compra</t>
  </si>
  <si>
    <t xml:space="preserve">      COMPRA DE CD's</t>
  </si>
  <si>
    <t xml:space="preserve">        CD  GR  IVA</t>
  </si>
  <si>
    <t xml:space="preserve">      COMPRA DE CASSETTES</t>
  </si>
  <si>
    <t xml:space="preserve">        MC  EX   IVA</t>
  </si>
  <si>
    <t xml:space="preserve">        MC  GR   IVA</t>
  </si>
  <si>
    <t xml:space="preserve">      COMPRA DE LONG PLAY</t>
  </si>
  <si>
    <t xml:space="preserve">        LP  EX  IVA</t>
  </si>
  <si>
    <t xml:space="preserve">        LP  GR  IVA</t>
  </si>
  <si>
    <t xml:space="preserve">      COMPRA DE DVD</t>
  </si>
  <si>
    <t xml:space="preserve">        DVD  EX   IVA   RTA</t>
  </si>
  <si>
    <t xml:space="preserve">        DVD EX  IVA</t>
  </si>
  <si>
    <t xml:space="preserve">        DVD GR  IVA</t>
  </si>
  <si>
    <t xml:space="preserve">        BLUE RAY DVD</t>
  </si>
  <si>
    <t xml:space="preserve">      COMPRA DE LASER DISK</t>
  </si>
  <si>
    <t xml:space="preserve">        AUDIO LIBROS</t>
  </si>
  <si>
    <t xml:space="preserve">        ART.VARIOS P/INSTALACION</t>
  </si>
  <si>
    <t xml:space="preserve">        Libros  EX  IVA</t>
  </si>
  <si>
    <t xml:space="preserve">        ART. VARIOS  GR IVA</t>
  </si>
  <si>
    <t xml:space="preserve">        Recepcion Importacion</t>
  </si>
  <si>
    <t xml:space="preserve">  ACTIVO NO CORRIENTE</t>
  </si>
  <si>
    <t xml:space="preserve">    BIENES DE USO</t>
  </si>
  <si>
    <t xml:space="preserve">      MUEBLES Y UTILES</t>
  </si>
  <si>
    <t xml:space="preserve">        Muebles y Utiles</t>
  </si>
  <si>
    <t xml:space="preserve">        Deprec.Acum.- Muebles y Utiles</t>
  </si>
  <si>
    <t xml:space="preserve">      HERRAMIENTAS Y EQUIPOS</t>
  </si>
  <si>
    <t xml:space="preserve">        Herramientas y Equipos</t>
  </si>
  <si>
    <t xml:space="preserve">        Dep.Acum.Herram.y Equipos</t>
  </si>
  <si>
    <t xml:space="preserve">      EQUIPOS DE INFORMATICA</t>
  </si>
  <si>
    <t xml:space="preserve">        Equipos de Informatica</t>
  </si>
  <si>
    <t xml:space="preserve">        Dep.Acm.Eq.de Informatica</t>
  </si>
  <si>
    <t xml:space="preserve">      RODADOS</t>
  </si>
  <si>
    <t xml:space="preserve">        Rodados</t>
  </si>
  <si>
    <t xml:space="preserve">        Deprec.Acum. - Rodados</t>
  </si>
  <si>
    <t xml:space="preserve">      INMUEBLES</t>
  </si>
  <si>
    <t xml:space="preserve">        Edificio Tte. Fariña</t>
  </si>
  <si>
    <t xml:space="preserve">        Dep.Acum.Edif. Tte.Fariña.</t>
  </si>
  <si>
    <t xml:space="preserve">        Edific Fernando de la Mora</t>
  </si>
  <si>
    <t xml:space="preserve">        Dep.Acum.Edif.Fdo de la Mora</t>
  </si>
  <si>
    <t xml:space="preserve">        Edif.Av. España CCC14-0011-62</t>
  </si>
  <si>
    <t xml:space="preserve">      MEJ.INMBUEBLES DE TROS.</t>
  </si>
  <si>
    <t xml:space="preserve">        Mej.Locat.y en Prop. de Tercer</t>
  </si>
  <si>
    <t xml:space="preserve">        Dep.Acum.Mej.Locat.y Pro.Terc.</t>
  </si>
  <si>
    <t xml:space="preserve">      TERRENOS</t>
  </si>
  <si>
    <t xml:space="preserve">        Terrenos</t>
  </si>
  <si>
    <t xml:space="preserve">      Obras en Curso</t>
  </si>
  <si>
    <t xml:space="preserve">        Mejoras en curso Edificio Fdo.</t>
  </si>
  <si>
    <t xml:space="preserve">        Deprec Mejoras Edif Fdo</t>
  </si>
  <si>
    <t xml:space="preserve">    CARGOS DIFERIDOS</t>
  </si>
  <si>
    <t xml:space="preserve">        Gastos de Consult.e Informat.</t>
  </si>
  <si>
    <t xml:space="preserve">        Amort.Acum.Gtos.de Consult.e I</t>
  </si>
  <si>
    <t xml:space="preserve">      BIENES INTANGIBLES</t>
  </si>
  <si>
    <t xml:space="preserve">        Llave del Negocio</t>
  </si>
  <si>
    <t xml:space="preserve">        Amort.Acum.Llave del Negocio</t>
  </si>
  <si>
    <t xml:space="preserve">        Software Informatico</t>
  </si>
  <si>
    <t xml:space="preserve">        Amort.Acum. Software Inform.</t>
  </si>
  <si>
    <t xml:space="preserve">        Registro de marca</t>
  </si>
  <si>
    <t xml:space="preserve">        Amort.Acum. Reegistro de Marca</t>
  </si>
  <si>
    <t xml:space="preserve">      GASTOS PAGADOS POR ADELANTADO</t>
  </si>
  <si>
    <t xml:space="preserve">        Seguros a Vencer</t>
  </si>
  <si>
    <t>Total ACTIVO</t>
  </si>
  <si>
    <t xml:space="preserve">  PASIVO</t>
  </si>
  <si>
    <t xml:space="preserve">    DEUDAS OPERATIVAS</t>
  </si>
  <si>
    <t xml:space="preserve">      DEUDAS COMERCIALES</t>
  </si>
  <si>
    <t xml:space="preserve">        Prov. Locales - Mercaderías Gs</t>
  </si>
  <si>
    <t xml:space="preserve">        Prov. Locales Mercaderias US$</t>
  </si>
  <si>
    <t xml:space="preserve">        Prov. del Exterior -Merc. US$</t>
  </si>
  <si>
    <t xml:space="preserve">        Prov.Entidades de Tarjeta de C</t>
  </si>
  <si>
    <t xml:space="preserve">        Prov. de Serv.de Import Gs</t>
  </si>
  <si>
    <t xml:space="preserve">        Prov. de Serv.de Import u$</t>
  </si>
  <si>
    <t xml:space="preserve">        Prov. Bienes y Serv.US$</t>
  </si>
  <si>
    <t xml:space="preserve">        Prov. Bienes y Serv. Gs.</t>
  </si>
  <si>
    <t xml:space="preserve">        Valores a Regularizar - Gs.</t>
  </si>
  <si>
    <t xml:space="preserve">        Valores a Regularizar - USD</t>
  </si>
  <si>
    <t xml:space="preserve">        Ingresos Facturados Diferidos</t>
  </si>
  <si>
    <t xml:space="preserve">        Dividendos  a  Distribuir</t>
  </si>
  <si>
    <t xml:space="preserve">      DEUDAS SOCIALES</t>
  </si>
  <si>
    <t xml:space="preserve">        Sueldos y Jornales a Pagar</t>
  </si>
  <si>
    <t xml:space="preserve">        IPS a Pagar</t>
  </si>
  <si>
    <t xml:space="preserve">        Aguinaldos a Pagar</t>
  </si>
  <si>
    <t xml:space="preserve">      DEUDAS FISCALES</t>
  </si>
  <si>
    <t xml:space="preserve">        IVA - Débito Fiscal</t>
  </si>
  <si>
    <t xml:space="preserve">        Retencion  IVA  a Prov. del Ex</t>
  </si>
  <si>
    <t xml:space="preserve">        Retencion Imp Renta a Prov Ext</t>
  </si>
  <si>
    <t xml:space="preserve">        Sub Secretaria de Tributacion</t>
  </si>
  <si>
    <t xml:space="preserve">      DEUDAS BANCARIAS Y FINANCI.-CP</t>
  </si>
  <si>
    <t xml:space="preserve">        Prést Banc Nº90244293 - Capita</t>
  </si>
  <si>
    <t xml:space="preserve">        Prést. Cap Gs ITAU 90303392 CP</t>
  </si>
  <si>
    <t xml:space="preserve">        Prest Cap ITAU 90303392 CP</t>
  </si>
  <si>
    <t xml:space="preserve">        Prest Cap ITAU 90326540 CP</t>
  </si>
  <si>
    <t xml:space="preserve">        Prest. Cap Valores Casa de Bol</t>
  </si>
  <si>
    <t xml:space="preserve">        Prest. Cap Itau 90244292 CP</t>
  </si>
  <si>
    <t xml:space="preserve">        Documentos a Pagar CP</t>
  </si>
  <si>
    <t xml:space="preserve">        Prest. Capital Itau CP</t>
  </si>
  <si>
    <t xml:space="preserve">        Prest. Cap Basa 30221212029 CP</t>
  </si>
  <si>
    <t xml:space="preserve">        Prest. FIC de Finanzas</t>
  </si>
  <si>
    <t xml:space="preserve">        Intereses a Pagar Gs</t>
  </si>
  <si>
    <t xml:space="preserve">    DEUDAS BANCARIAS Y FINANC.-LP</t>
  </si>
  <si>
    <t xml:space="preserve">      ....</t>
  </si>
  <si>
    <t xml:space="preserve">        Prést -Cap Gs. 20171012047 LP</t>
  </si>
  <si>
    <t xml:space="preserve">        Prést. Cap Gs. 20180426057</t>
  </si>
  <si>
    <t xml:space="preserve">        Prést. Cap Gs. Nº 20180426057</t>
  </si>
  <si>
    <t xml:space="preserve">        Intereses a Pagar LP</t>
  </si>
  <si>
    <t xml:space="preserve">        Intereses a Vencer LP</t>
  </si>
  <si>
    <t xml:space="preserve">    DEUDAS-BONOS</t>
  </si>
  <si>
    <t xml:space="preserve">      ..</t>
  </si>
  <si>
    <t xml:space="preserve">        Bonos BVPASA</t>
  </si>
  <si>
    <t>Total P A S I V O</t>
  </si>
  <si>
    <t xml:space="preserve">  PATRIMONIO NETO</t>
  </si>
  <si>
    <t xml:space="preserve">    CAPITAL, RESERVAS Y RESULTADOS</t>
  </si>
  <si>
    <t xml:space="preserve">      CAPITAL</t>
  </si>
  <si>
    <t xml:space="preserve">        Capital Integrado</t>
  </si>
  <si>
    <t xml:space="preserve">      RESERVAS</t>
  </si>
  <si>
    <t xml:space="preserve">        Reserva Legal</t>
  </si>
  <si>
    <t xml:space="preserve">        Reserva Reval£o Ley 125/91</t>
  </si>
  <si>
    <t xml:space="preserve">        Revalúo Técnico</t>
  </si>
  <si>
    <t xml:space="preserve">      RESULTADOS</t>
  </si>
  <si>
    <t xml:space="preserve">        Resultados Ejerc.Anteriores</t>
  </si>
  <si>
    <t>Total PATRIMONIO NETO</t>
  </si>
  <si>
    <t>Total P A S I V O y PATRIMONIO NETO</t>
  </si>
  <si>
    <t>Resultado del Ejercicio</t>
  </si>
  <si>
    <t>Diferencia</t>
  </si>
  <si>
    <t>Itau Invest CC Gs.101151892</t>
  </si>
  <si>
    <t>Bonos BVPASA</t>
  </si>
  <si>
    <t xml:space="preserve">    INGRESOS OPERATIVOS</t>
  </si>
  <si>
    <t xml:space="preserve">        INGRESOS NETOS INTRUMENTOS</t>
  </si>
  <si>
    <t xml:space="preserve">            VENTA DE INSTRUMENTOS</t>
  </si>
  <si>
    <t xml:space="preserve">                Instrumentos EX articulos E</t>
  </si>
  <si>
    <t xml:space="preserve">                Instrumentos IVA 1,5 articT</t>
  </si>
  <si>
    <t xml:space="preserve">                Instrumentos  GR IVA 10%</t>
  </si>
  <si>
    <t xml:space="preserve">            COSTO DE INSTRUMENTOS</t>
  </si>
  <si>
    <t xml:space="preserve">                InstrumentosEX IVA art E costo</t>
  </si>
  <si>
    <t xml:space="preserve">                InstrumentosIVA 1,5 art Tcosto</t>
  </si>
  <si>
    <t xml:space="preserve">                Instrumentos  GR   IVA costo</t>
  </si>
  <si>
    <t xml:space="preserve">        INGRESOS DE ACC. P/INSTRUMEN.</t>
  </si>
  <si>
    <t xml:space="preserve">            VENTA DE ACC. P/INSTRUMENTOS</t>
  </si>
  <si>
    <t xml:space="preserve">                Acc.p/Instrum. EX   IVA   RTA</t>
  </si>
  <si>
    <t xml:space="preserve">                Acc.p/Instrum. EX   IVA</t>
  </si>
  <si>
    <t xml:space="preserve">                Acc.p/Instrum. GR  IVA 10% vta</t>
  </si>
  <si>
    <t xml:space="preserve">            COSTO DE ACC. P/INSTRUMENTOS</t>
  </si>
  <si>
    <t xml:space="preserve">                Acc.p/Instrum. EX   IVA Costo</t>
  </si>
  <si>
    <t xml:space="preserve">                Acc.p/Instrum. EX   IVA costo</t>
  </si>
  <si>
    <t xml:space="preserve">                Acc.p/Instrum. GR  IVA costo</t>
  </si>
  <si>
    <t xml:space="preserve">        INGRESOS DE REPUESTOS</t>
  </si>
  <si>
    <t xml:space="preserve">            VENTA DE REPUESTOS</t>
  </si>
  <si>
    <t xml:space="preserve">                Repuestos  GR   IVA</t>
  </si>
  <si>
    <t xml:space="preserve">            COSTO DE REPUESTOS</t>
  </si>
  <si>
    <t xml:space="preserve">                Repuestos  GR  IVA costo</t>
  </si>
  <si>
    <t xml:space="preserve">        INGRESOS DE AUDIO PROFESIONAL</t>
  </si>
  <si>
    <t xml:space="preserve">            VENTA DE AUDIO PROFESIONAL</t>
  </si>
  <si>
    <t xml:space="preserve">                Audio Prof. EX   IVAvta</t>
  </si>
  <si>
    <t xml:space="preserve">                Audio Prof. EX   IVA Vta</t>
  </si>
  <si>
    <t xml:space="preserve">                Audio Prof. GR   IVA Vta</t>
  </si>
  <si>
    <t xml:space="preserve">            COSTO DE AUDIO PROFESIONAL</t>
  </si>
  <si>
    <t xml:space="preserve">                Audio Prof. EX   IVAcosto</t>
  </si>
  <si>
    <t xml:space="preserve">                Audio Prof. EX   IVA costo</t>
  </si>
  <si>
    <t xml:space="preserve">                Audio Prof. GR  IVAcosto</t>
  </si>
  <si>
    <t xml:space="preserve">        INGRESOS DE AUDIO CASERO</t>
  </si>
  <si>
    <t xml:space="preserve">            VENTA DE AUDIO CASERO</t>
  </si>
  <si>
    <t xml:space="preserve">                Audio Casero EX art E Vta</t>
  </si>
  <si>
    <t xml:space="preserve">                Audio Casero EX   IVA Vta</t>
  </si>
  <si>
    <t xml:space="preserve">                Audio Casero GR  IVA 10%Vta</t>
  </si>
  <si>
    <t xml:space="preserve">            COSTO DE AUDIO CASERO</t>
  </si>
  <si>
    <t xml:space="preserve">                Audio Casero EX   IVA  RTA cos</t>
  </si>
  <si>
    <t xml:space="preserve">                Audio Casero EX   IVA costo</t>
  </si>
  <si>
    <t xml:space="preserve">                Audio Casero GR  IVA costo</t>
  </si>
  <si>
    <t xml:space="preserve">        INGRESOS DE CD's</t>
  </si>
  <si>
    <t xml:space="preserve">            VENTA DE CD's</t>
  </si>
  <si>
    <t xml:space="preserve">                CD   GR  IVA</t>
  </si>
  <si>
    <t xml:space="preserve">            COSTO DE CD's</t>
  </si>
  <si>
    <t xml:space="preserve">                CD   GR  IVA costo</t>
  </si>
  <si>
    <t xml:space="preserve">        INGRESOS DE LONG PLAY</t>
  </si>
  <si>
    <t xml:space="preserve">            VENTA DE LONG PLAY</t>
  </si>
  <si>
    <t xml:space="preserve">                LP   GR  IVA</t>
  </si>
  <si>
    <t xml:space="preserve">            COSTO DE LONG PLAY</t>
  </si>
  <si>
    <t xml:space="preserve">        INGRESOS DE VHS's</t>
  </si>
  <si>
    <t xml:space="preserve">            VENTA DE VHS's</t>
  </si>
  <si>
    <t xml:space="preserve">                ART.VARIOS P/INST.VTA</t>
  </si>
  <si>
    <t xml:space="preserve">            COSTO DE VHS's</t>
  </si>
  <si>
    <t xml:space="preserve">                ART.VARIOS P/INST COSTO</t>
  </si>
  <si>
    <t xml:space="preserve">        INGRESOS DE ARTICULOS VARIOS</t>
  </si>
  <si>
    <t xml:space="preserve">            VENTA DE ARTICULOS VARIOS</t>
  </si>
  <si>
    <t xml:space="preserve">                Libros   EX   IVA</t>
  </si>
  <si>
    <t xml:space="preserve">                Art. VARIOS   GR   IVA</t>
  </si>
  <si>
    <t xml:space="preserve">                COSTO DE ARTICULOS VARIOS</t>
  </si>
  <si>
    <t xml:space="preserve">                Libros   EX  IVA</t>
  </si>
  <si>
    <t xml:space="preserve">                Art. VARIOS   GR  IVA</t>
  </si>
  <si>
    <t xml:space="preserve">        INGRESOS DE SERVICIOS</t>
  </si>
  <si>
    <t xml:space="preserve">            VENTA DE SERVICIO TECNICO</t>
  </si>
  <si>
    <t xml:space="preserve">                Venta de servicio Tecnico</t>
  </si>
  <si>
    <t xml:space="preserve">                Venta Servicio Delivery</t>
  </si>
  <si>
    <t xml:space="preserve">                Mano de obra y/o Asistencia Te</t>
  </si>
  <si>
    <t xml:space="preserve">        INGRESOS NETOS DE LA  ACADEMIA</t>
  </si>
  <si>
    <t xml:space="preserve">            VENTA DE CURSOS</t>
  </si>
  <si>
    <t xml:space="preserve">                Enseñanza de Org. Keyboard</t>
  </si>
  <si>
    <t xml:space="preserve">                Enseñanza de Piano</t>
  </si>
  <si>
    <t xml:space="preserve">                Enseñanza de Guitarra</t>
  </si>
  <si>
    <t xml:space="preserve">                Enseñanza de Bater¡a</t>
  </si>
  <si>
    <t xml:space="preserve">                Enseñanza de Vocalización</t>
  </si>
  <si>
    <t xml:space="preserve">    INGRESOS EXTRAORDINARIOS</t>
  </si>
  <si>
    <t xml:space="preserve">        INGRESOS EXTRAORD.</t>
  </si>
  <si>
    <t xml:space="preserve">        INGRESOS FINANCIEROS</t>
  </si>
  <si>
    <t xml:space="preserve">                Otros Ingresos Financieros</t>
  </si>
  <si>
    <t xml:space="preserve">            INGRESOS/EGRESOS NO OPERATIVOS</t>
  </si>
  <si>
    <t xml:space="preserve">                Diferencia en Cambio</t>
  </si>
  <si>
    <t xml:space="preserve">                Otros Ingresos Academia</t>
  </si>
  <si>
    <t>Total CUENTAS DE INGRESOS</t>
  </si>
  <si>
    <t xml:space="preserve">    GASTOS ORDINARIOS</t>
  </si>
  <si>
    <t xml:space="preserve">        GASTOS OPERATIVOS</t>
  </si>
  <si>
    <t xml:space="preserve">            GASTOS DE VENTAS</t>
  </si>
  <si>
    <t xml:space="preserve">                Sueldos Personal de Ventas</t>
  </si>
  <si>
    <t xml:space="preserve">                Bonificacion Familiar</t>
  </si>
  <si>
    <t xml:space="preserve">                Aporte Patronal IPS</t>
  </si>
  <si>
    <t xml:space="preserve">                Aguinaldos</t>
  </si>
  <si>
    <t xml:space="preserve">                Comision s/Ventas Variable</t>
  </si>
  <si>
    <t xml:space="preserve">                Premio y Gratificaciones</t>
  </si>
  <si>
    <t xml:space="preserve">                Tarj.de Credito Comision -POS</t>
  </si>
  <si>
    <t xml:space="preserve">                Expensas Comunes</t>
  </si>
  <si>
    <t xml:space="preserve">                Combustibles y Lubric.</t>
  </si>
  <si>
    <t xml:space="preserve">                Servicios de Terceros</t>
  </si>
  <si>
    <t xml:space="preserve">                ERSSAN 2% LEY 1614</t>
  </si>
  <si>
    <t xml:space="preserve">                Comisión s/Ventas</t>
  </si>
  <si>
    <t xml:space="preserve">                Fletes</t>
  </si>
  <si>
    <t xml:space="preserve">                Comision PAGOPAR</t>
  </si>
  <si>
    <t xml:space="preserve">                Gastos de Financiamiento</t>
  </si>
  <si>
    <t xml:space="preserve">                Regalias Academia Yamaha</t>
  </si>
  <si>
    <t xml:space="preserve">                Gastos de la Academia</t>
  </si>
  <si>
    <t xml:space="preserve">                Papelería e Impresos</t>
  </si>
  <si>
    <t xml:space="preserve">                Cafetería y Art.de Limpieza</t>
  </si>
  <si>
    <t xml:space="preserve">                Servicio de Limpieza</t>
  </si>
  <si>
    <t xml:space="preserve">                Movilidad y Viatico</t>
  </si>
  <si>
    <t xml:space="preserve">                Iluminación y Mat.eléctricos</t>
  </si>
  <si>
    <t xml:space="preserve">                Servicio de Seguridad</t>
  </si>
  <si>
    <t xml:space="preserve">                Gastos Varios de Ventas</t>
  </si>
  <si>
    <t xml:space="preserve">            FONDOS FIJOS   VENTAS</t>
  </si>
  <si>
    <t xml:space="preserve">                Rep. y Mant. del Local</t>
  </si>
  <si>
    <t xml:space="preserve">                Gastos de Decoración</t>
  </si>
  <si>
    <t xml:space="preserve">            GASTOS DE ADMINISTRACION</t>
  </si>
  <si>
    <t xml:space="preserve">                Remunerac.al Personal Superi</t>
  </si>
  <si>
    <t xml:space="preserve">                Sueldos Personal Administrativ</t>
  </si>
  <si>
    <t xml:space="preserve">                Embargo de Sueldo</t>
  </si>
  <si>
    <t xml:space="preserve">                Aguinaldo</t>
  </si>
  <si>
    <t xml:space="preserve">                Honorarios Profesionales</t>
  </si>
  <si>
    <t xml:space="preserve">                Comision por Cobranza</t>
  </si>
  <si>
    <t xml:space="preserve">                Insumos de Equipos Informati</t>
  </si>
  <si>
    <t xml:space="preserve">                Insumos de Equiposde Instalaci</t>
  </si>
  <si>
    <t xml:space="preserve">                Gastos de Informatica</t>
  </si>
  <si>
    <t xml:space="preserve">                Uniforme del Personal</t>
  </si>
  <si>
    <t xml:space="preserve">                Agua</t>
  </si>
  <si>
    <t xml:space="preserve">                Electricidad</t>
  </si>
  <si>
    <t xml:space="preserve">                Gastos de Comunicación</t>
  </si>
  <si>
    <t xml:space="preserve">                Cuotas y Suscripciones</t>
  </si>
  <si>
    <t xml:space="preserve">                Local Alquilado</t>
  </si>
  <si>
    <t xml:space="preserve">                Gastos Bancarios</t>
  </si>
  <si>
    <t xml:space="preserve">                Viajes al Exterior</t>
  </si>
  <si>
    <t xml:space="preserve">                Gastos Generales</t>
  </si>
  <si>
    <t xml:space="preserve">                Salarios GND</t>
  </si>
  <si>
    <t xml:space="preserve">            FONDO FIJO ADMINISTRACION</t>
  </si>
  <si>
    <t xml:space="preserve">                Utiles de Oficina</t>
  </si>
  <si>
    <t xml:space="preserve">                Rep. y Mant. de Equipos</t>
  </si>
  <si>
    <t xml:space="preserve">                Rep. y Mant. de Local Edif.</t>
  </si>
  <si>
    <t xml:space="preserve">                Iluminacion y Mat. Electricos</t>
  </si>
  <si>
    <t xml:space="preserve">                Rep. y Mant. de Rodados</t>
  </si>
  <si>
    <t xml:space="preserve">        PUBLICIDAD Y PROPAGANDA</t>
  </si>
  <si>
    <t xml:space="preserve">            MEDIOS MOTORES</t>
  </si>
  <si>
    <t xml:space="preserve">                Publicidad en Redes</t>
  </si>
  <si>
    <t xml:space="preserve">                Publicidad Radial</t>
  </si>
  <si>
    <t xml:space="preserve">                Publicidad Escrita</t>
  </si>
  <si>
    <t xml:space="preserve">                Publicidad en el punto de Vent</t>
  </si>
  <si>
    <t xml:space="preserve">                Otros Gastos Publicitarios</t>
  </si>
  <si>
    <t xml:space="preserve">            MUSIC CLUB</t>
  </si>
  <si>
    <t xml:space="preserve">                Descuentos Concedidos</t>
  </si>
  <si>
    <t xml:space="preserve">            VIA PUBLICA</t>
  </si>
  <si>
    <t xml:space="preserve">                Carteles</t>
  </si>
  <si>
    <t xml:space="preserve">            OTROS GASTOS PUBLICITARIOS</t>
  </si>
  <si>
    <t xml:space="preserve">                Promociones</t>
  </si>
  <si>
    <t xml:space="preserve">    OTROS GASTOS ORDINARIOS</t>
  </si>
  <si>
    <t xml:space="preserve">        IMPUESTOS</t>
  </si>
  <si>
    <t xml:space="preserve">            IMPUESTOS INDIRECTOS</t>
  </si>
  <si>
    <t xml:space="preserve">                Patentes Municipales</t>
  </si>
  <si>
    <t xml:space="preserve">                Tasas Municipales</t>
  </si>
  <si>
    <t xml:space="preserve">                Impuestos Varios</t>
  </si>
  <si>
    <t xml:space="preserve">                IVA - COSTO</t>
  </si>
  <si>
    <t xml:space="preserve">        DEPRECIACION</t>
  </si>
  <si>
    <t xml:space="preserve">            Depreciacion del Activo Fijo</t>
  </si>
  <si>
    <t xml:space="preserve">            Amortizaciones del Ejercicio</t>
  </si>
  <si>
    <t xml:space="preserve">        NO DEDUCIBLES DIRECTOS</t>
  </si>
  <si>
    <t xml:space="preserve">            Retencion Renta GND</t>
  </si>
  <si>
    <t xml:space="preserve">    EGRESOS EXTRAORDINARIOS</t>
  </si>
  <si>
    <t xml:space="preserve">        EGRESOS EXTRAORDINARIOS</t>
  </si>
  <si>
    <t xml:space="preserve">            EGRESOS FINANCIEROS</t>
  </si>
  <si>
    <t xml:space="preserve">                Intereses Bancarios</t>
  </si>
  <si>
    <t xml:space="preserve">                Comisiones Bancarias</t>
  </si>
  <si>
    <t xml:space="preserve">                Gastos Bolsa de Valores</t>
  </si>
  <si>
    <t xml:space="preserve">            EGRESOS NO OPERATIVOS</t>
  </si>
  <si>
    <t xml:space="preserve">                Diferenc. en Cambio - Negativa</t>
  </si>
  <si>
    <t xml:space="preserve">                Donaciones y Contribuciones</t>
  </si>
  <si>
    <t>Total CUENTAS DE EGRESOS</t>
  </si>
  <si>
    <t xml:space="preserve">                                   -</t>
  </si>
  <si>
    <t>Servicios Tercerizados</t>
  </si>
  <si>
    <t xml:space="preserve">                    -  </t>
  </si>
  <si>
    <t>Al 31 de Marzo 2024 y Marzo 2023 la Sociedad no ha tenido ingresos ni egresos extraordinarios.</t>
  </si>
  <si>
    <t>Al 31 de Marzo 2024 y 31 de Marzo 2023 la Sociedad no ha tenido actividades discontinuadas.</t>
  </si>
  <si>
    <t>Al 31 de Marzo 2024</t>
  </si>
  <si>
    <t>Al 31 de Marzo 2023</t>
  </si>
  <si>
    <t>Al 31 de Marzo 2024 y Marzo 2023  no existen situaciones contingentes, ni reclamos que pudieran resultar en la generación de obligaciones para la Sociedad adicional a las que se presentan en estos estados financieros.</t>
  </si>
  <si>
    <t>Los principales contratos suscriptos por la Sociedad, vigentes al  31 de Marzo del 2024</t>
  </si>
  <si>
    <t xml:space="preserve">Al 31 de Marzo de 2024 la Sociedad constituyó una provisión para impuesto a la renta de Guaraníes (Al 31 de Marzo 2024:  Guaraníes ) / (La Sociedad no ha constituido provisión para impuesto a la renta, debido a que a esa fecha la misma generó renta imponible que fue compensada con quebrantos impositivos acumulados a esa fecha). </t>
  </si>
  <si>
    <t>Entre la fecha de cierre del ejercicio y la fecha de preparación de estos estados financieros, no han ocurrido hechos significativos de carácter financiero o de otra índole que afecten la situación patrimonial o financiera o los resultados de la Sociedad al 31 de Marzo de 2024.</t>
  </si>
  <si>
    <t>x</t>
  </si>
  <si>
    <t xml:space="preserve"> ACUMULADO PERIODO </t>
  </si>
  <si>
    <t xml:space="preserve"> SALDO DEUDOR </t>
  </si>
  <si>
    <t>110111001</t>
  </si>
  <si>
    <t>110111002</t>
  </si>
  <si>
    <t>110111003</t>
  </si>
  <si>
    <t>110111004</t>
  </si>
  <si>
    <t>110111006</t>
  </si>
  <si>
    <t>110111007</t>
  </si>
  <si>
    <t>110111009</t>
  </si>
  <si>
    <t>110111011</t>
  </si>
  <si>
    <t>110111012</t>
  </si>
  <si>
    <t>110111013</t>
  </si>
  <si>
    <t>110111014</t>
  </si>
  <si>
    <t>110111015</t>
  </si>
  <si>
    <t>110111016</t>
  </si>
  <si>
    <t>110111030</t>
  </si>
  <si>
    <t>110111031</t>
  </si>
  <si>
    <t>110111032</t>
  </si>
  <si>
    <t>110111033</t>
  </si>
  <si>
    <t>110111034</t>
  </si>
  <si>
    <t>110111035</t>
  </si>
  <si>
    <t>110211022</t>
  </si>
  <si>
    <t>Anticipo a Accionistas</t>
  </si>
  <si>
    <t>110365002</t>
  </si>
  <si>
    <t>110365003</t>
  </si>
  <si>
    <t>110391001</t>
  </si>
  <si>
    <t>210101092</t>
  </si>
  <si>
    <t>Prov. Bienes y Serv. Canje Gs.</t>
  </si>
  <si>
    <t>210121011</t>
  </si>
  <si>
    <t>211101101</t>
  </si>
  <si>
    <t>211101206</t>
  </si>
  <si>
    <t>211101207</t>
  </si>
  <si>
    <t>211101208</t>
  </si>
  <si>
    <t>410302001</t>
  </si>
  <si>
    <t>530802</t>
  </si>
  <si>
    <t>Seguro c/Incendio</t>
  </si>
  <si>
    <t>530803</t>
  </si>
  <si>
    <t>Seguro c/Robo</t>
  </si>
  <si>
    <t xml:space="preserve">                                                -  </t>
  </si>
  <si>
    <t xml:space="preserve">                                              -  </t>
  </si>
  <si>
    <t xml:space="preserve"> SALDO ACREEDOR </t>
  </si>
  <si>
    <t>110111008</t>
  </si>
  <si>
    <t>110111010</t>
  </si>
  <si>
    <t>110221007</t>
  </si>
  <si>
    <t>Retencion IVA por 3ros</t>
  </si>
  <si>
    <t>110350002</t>
  </si>
  <si>
    <t xml:space="preserve">                                       -</t>
  </si>
  <si>
    <t>##########</t>
  </si>
  <si>
    <t>440111031</t>
  </si>
  <si>
    <t>520101103</t>
  </si>
  <si>
    <t>520111124</t>
  </si>
  <si>
    <t xml:space="preserve">                                  -</t>
  </si>
  <si>
    <t xml:space="preserve">                                -  </t>
  </si>
  <si>
    <t>AL 31 DE MARZO DEL 2024</t>
  </si>
  <si>
    <t>Saldo al  31 de Marzo 2022</t>
  </si>
  <si>
    <t>Saldo al 31 de Marzo 2023</t>
  </si>
  <si>
    <t>Saldo al 31 de Marzo del 2024</t>
  </si>
  <si>
    <t>ESTADOS CONTABLES AL AL 31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</si>
</sst>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_ * #,##0_ ;_ * \-#,##0_ ;_ * &quot;-&quot;_ ;_ @_ "/>
    <numFmt numFmtId="165" formatCode="_ * #,##0.00_ ;_ * \-#,##0.00_ ;_ * &quot;-&quot;??_ ;_ @_ "/>
    <numFmt numFmtId="166" formatCode="_ * #,##0_ ;_ * \-#,##0_ ;_ * &quot;-&quot;??_ ;_ @_ "/>
    <numFmt numFmtId="167" formatCode="dd/mm/yyyy;@"/>
    <numFmt numFmtId="168" formatCode="_ * #,##0.00_ ;_ * \-#,##0.00_ ;_ * &quot;-&quot;_ ;_ @_ "/>
    <numFmt numFmtId="169" formatCode="_(* #,##0_);_(* \(#,##0\);_(* &quot;-&quot;??_);_(@_)"/>
    <numFmt numFmtId="170" formatCode="#,###,##0"/>
    <numFmt numFmtId="171" formatCode="_(* #,##0.00_);_(* \(#,##0.00\);_(* &quot;-&quot;??_);_(@_)"/>
    <numFmt numFmtId="172" formatCode="_-* #,##0_-;\-* #,##0_-;_-* &quot;-&quot;??_-;_-@_-"/>
    <numFmt numFmtId="173" formatCode="#,##0.00&quot; € &quot;;\-#,##0.00&quot; € &quot;;&quot; -&quot;#&quot; € &quot;;@\ "/>
    <numFmt numFmtId="174" formatCode="_-* #,##0.00\ _€_-;\-* #,##0.00\ _€_-;_-* \-??\ _€_-;_-@_-"/>
    <numFmt numFmtId="175" formatCode="_-* #,##0\ _€_-;\-* #,##0\ _€_-;_-* &quot;- &quot;_€_-;_-@_-"/>
    <numFmt numFmtId="176" formatCode="_-* #,##0.00\ _€_-;\-* #,##0.00\ _€_-;_-* &quot;-&quot;??\ _€_-;_-@_-"/>
    <numFmt numFmtId="177" formatCode="_-* #,##0.00_-;\-* #,##0.00_-;_-* &quot;-&quot;_-;_-@_-"/>
  </numFmts>
  <fonts count="122">
    <font>
      <sz val="11"/>
      <color theme="1"/>
      <name val="Calibri"/>
      <family val="2"/>
      <scheme val="minor"/>
    </font>
    <font>
      <b/>
      <sz val="10"/>
      <name val="Arial"/>
      <family val="2"/>
    </font>
    <font>
      <sz val="10"/>
      <name val="Arial"/>
      <family val="2"/>
    </font>
    <font>
      <sz val="10"/>
      <name val="Arial Black"/>
      <family val="2"/>
    </font>
    <font>
      <b/>
      <sz val="9"/>
      <name val="Arial"/>
      <family val="2"/>
    </font>
    <font>
      <b/>
      <sz val="12"/>
      <name val="Arial"/>
      <family val="2"/>
    </font>
    <font>
      <b/>
      <sz val="8"/>
      <name val="Arial"/>
      <family val="2"/>
    </font>
    <font>
      <b/>
      <sz val="11"/>
      <name val="Arial"/>
      <family val="2"/>
    </font>
    <font>
      <sz val="11"/>
      <name val="Arial"/>
      <family val="2"/>
    </font>
    <font>
      <sz val="9"/>
      <name val="Arial"/>
      <family val="2"/>
    </font>
    <font>
      <b/>
      <u/>
      <sz val="10"/>
      <name val="Arial"/>
      <family val="2"/>
    </font>
    <font>
      <sz val="11"/>
      <color indexed="8"/>
      <name val="Calibri"/>
      <family val="2"/>
    </font>
    <font>
      <i/>
      <sz val="9"/>
      <name val="Calibri"/>
      <family val="2"/>
    </font>
    <font>
      <sz val="11"/>
      <name val="Calibri"/>
      <family val="2"/>
    </font>
    <font>
      <b/>
      <sz val="11"/>
      <name val="Calibri"/>
      <family val="2"/>
    </font>
    <font>
      <sz val="7"/>
      <color indexed="8"/>
      <name val="Tahoma"/>
      <family val="2"/>
    </font>
    <font>
      <b/>
      <sz val="7"/>
      <color indexed="8"/>
      <name val="Tahoma"/>
      <family val="2"/>
    </font>
    <font>
      <b/>
      <sz val="9.5"/>
      <color indexed="18"/>
      <name val="Tahoma"/>
      <family val="2"/>
    </font>
    <font>
      <sz val="8.5"/>
      <name val="Arial"/>
      <family val="2"/>
    </font>
    <font>
      <sz val="11"/>
      <color indexed="8"/>
      <name val="Calibri"/>
      <family val="2"/>
      <charset val="1"/>
    </font>
    <font>
      <sz val="12"/>
      <name val="Arial"/>
      <family val="2"/>
    </font>
    <font>
      <b/>
      <sz val="14"/>
      <name val="Arial"/>
      <family val="2"/>
    </font>
    <font>
      <b/>
      <sz val="10"/>
      <color indexed="8"/>
      <name val="Arial"/>
      <family val="2"/>
    </font>
    <font>
      <sz val="10"/>
      <color indexed="8"/>
      <name val="Arial"/>
      <family val="2"/>
    </font>
    <font>
      <sz val="12"/>
      <color indexed="8"/>
      <name val="Webdings"/>
      <family val="1"/>
      <charset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theme="10"/>
      <name val="Calibri"/>
      <family val="2"/>
      <scheme val="minor"/>
    </font>
    <font>
      <u/>
      <sz val="11"/>
      <color theme="10"/>
      <name val="Calibri"/>
      <family val="2"/>
    </font>
    <font>
      <sz val="11"/>
      <color rgb="FF9C0006"/>
      <name val="Calibri"/>
      <family val="2"/>
      <scheme val="minor"/>
    </font>
    <font>
      <sz val="11"/>
      <color rgb="FF9C6500"/>
      <name val="Calibri"/>
      <family val="2"/>
      <scheme val="minor"/>
    </font>
    <font>
      <sz val="11"/>
      <color rgb="FF0000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3"/>
      <color theme="3"/>
      <name val="Calibri"/>
      <family val="2"/>
      <scheme val="minor"/>
    </font>
    <font>
      <b/>
      <sz val="18"/>
      <color theme="3"/>
      <name val="Calibri Light"/>
      <family val="2"/>
      <scheme val="major"/>
    </font>
    <font>
      <b/>
      <sz val="11"/>
      <color theme="1"/>
      <name val="Calibri"/>
      <family val="2"/>
      <scheme val="minor"/>
    </font>
    <font>
      <sz val="10"/>
      <color theme="1"/>
      <name val="Arial"/>
      <family val="2"/>
    </font>
    <font>
      <b/>
      <sz val="10"/>
      <color theme="1"/>
      <name val="Arial"/>
      <family val="2"/>
    </font>
    <font>
      <sz val="8"/>
      <color theme="1"/>
      <name val="Arial"/>
      <family val="2"/>
    </font>
    <font>
      <u/>
      <sz val="10"/>
      <color theme="10"/>
      <name val="Arial"/>
      <family val="2"/>
    </font>
    <font>
      <b/>
      <sz val="24"/>
      <color theme="1"/>
      <name val="Broadway BT"/>
    </font>
    <font>
      <sz val="10"/>
      <color theme="1"/>
      <name val="Times New Roman"/>
      <family val="1"/>
    </font>
    <font>
      <b/>
      <sz val="18"/>
      <color theme="1"/>
      <name val="Times New Roman"/>
      <family val="1"/>
    </font>
    <font>
      <sz val="8"/>
      <color rgb="FFFF0000"/>
      <name val="Arial"/>
      <family val="2"/>
    </font>
    <font>
      <sz val="9"/>
      <color theme="1"/>
      <name val="Arial"/>
      <family val="2"/>
    </font>
    <font>
      <b/>
      <sz val="10"/>
      <color theme="0"/>
      <name val="Arial Black"/>
      <family val="2"/>
    </font>
    <font>
      <sz val="10"/>
      <color theme="1"/>
      <name val="Arial Black"/>
      <family val="2"/>
    </font>
    <font>
      <b/>
      <u val="singleAccounting"/>
      <sz val="10"/>
      <color theme="0"/>
      <name val="Arial Black"/>
      <family val="2"/>
    </font>
    <font>
      <sz val="10"/>
      <color theme="0"/>
      <name val="Arial"/>
      <family val="2"/>
    </font>
    <font>
      <b/>
      <sz val="10"/>
      <color theme="0"/>
      <name val="Arial"/>
      <family val="2"/>
    </font>
    <font>
      <b/>
      <sz val="10"/>
      <color rgb="FFFF0000"/>
      <name val="Arial"/>
      <family val="2"/>
    </font>
    <font>
      <sz val="9"/>
      <color rgb="FFFF0000"/>
      <name val="Arial"/>
      <family val="2"/>
    </font>
    <font>
      <sz val="12"/>
      <color theme="0"/>
      <name val="Arial"/>
      <family val="2"/>
    </font>
    <font>
      <sz val="12"/>
      <color theme="1"/>
      <name val="Arial"/>
      <family val="2"/>
    </font>
    <font>
      <sz val="10"/>
      <color theme="0"/>
      <name val="Arial Black"/>
      <family val="2"/>
    </font>
    <font>
      <sz val="11"/>
      <color theme="1"/>
      <name val="Arial"/>
      <family val="2"/>
    </font>
    <font>
      <sz val="10"/>
      <color rgb="FFFF0000"/>
      <name val="Arial"/>
      <family val="2"/>
    </font>
    <font>
      <b/>
      <sz val="11"/>
      <color theme="0"/>
      <name val="Arial"/>
      <family val="2"/>
    </font>
    <font>
      <i/>
      <sz val="11"/>
      <color theme="1"/>
      <name val="Arial"/>
      <family val="2"/>
    </font>
    <font>
      <b/>
      <sz val="11"/>
      <color theme="0"/>
      <name val="Arial Black"/>
      <family val="2"/>
    </font>
    <font>
      <b/>
      <sz val="11"/>
      <name val="Calibri"/>
      <family val="2"/>
      <scheme val="minor"/>
    </font>
    <font>
      <sz val="12"/>
      <color theme="1"/>
      <name val="Book Antiqua"/>
      <family val="1"/>
    </font>
    <font>
      <sz val="9"/>
      <color theme="1"/>
      <name val="Calibri"/>
      <family val="2"/>
      <scheme val="minor"/>
    </font>
    <font>
      <sz val="10"/>
      <color rgb="FF000000"/>
      <name val="Arial"/>
      <family val="2"/>
    </font>
    <font>
      <i/>
      <sz val="10"/>
      <color theme="1"/>
      <name val="Arial"/>
      <family val="2"/>
    </font>
    <font>
      <u/>
      <sz val="10"/>
      <color theme="1"/>
      <name val="Arial"/>
      <family val="2"/>
    </font>
    <font>
      <sz val="10"/>
      <color theme="1"/>
      <name val="Calibri"/>
      <family val="2"/>
      <scheme val="minor"/>
    </font>
    <font>
      <sz val="11"/>
      <color theme="4"/>
      <name val="Calibri"/>
      <family val="2"/>
      <scheme val="minor"/>
    </font>
    <font>
      <sz val="11"/>
      <name val="Calibri"/>
      <family val="2"/>
      <scheme val="minor"/>
    </font>
    <font>
      <sz val="9"/>
      <color theme="1"/>
      <name val="Book Antiqua"/>
      <family val="1"/>
    </font>
    <font>
      <sz val="9"/>
      <color theme="4"/>
      <name val="Book Antiqua"/>
      <family val="1"/>
    </font>
    <font>
      <sz val="9"/>
      <color rgb="FFFFFFFF"/>
      <name val="Arial"/>
      <family val="2"/>
    </font>
    <font>
      <b/>
      <sz val="9"/>
      <color rgb="FFFFFFFF"/>
      <name val="Arial"/>
      <family val="2"/>
    </font>
    <font>
      <i/>
      <sz val="11"/>
      <color theme="1"/>
      <name val="Calibri"/>
      <family val="2"/>
      <scheme val="minor"/>
    </font>
    <font>
      <b/>
      <sz val="9"/>
      <color theme="0"/>
      <name val="Arial"/>
      <family val="2"/>
    </font>
    <font>
      <sz val="9"/>
      <color rgb="FF000000"/>
      <name val="Arial"/>
      <family val="2"/>
    </font>
    <font>
      <b/>
      <sz val="10"/>
      <color rgb="FF000000"/>
      <name val="Arial"/>
      <family val="2"/>
    </font>
    <font>
      <i/>
      <sz val="9"/>
      <color rgb="FF000000"/>
      <name val="Arial"/>
      <family val="2"/>
    </font>
    <font>
      <sz val="9"/>
      <name val="Calibri"/>
      <family val="2"/>
      <scheme val="minor"/>
    </font>
    <font>
      <i/>
      <sz val="9"/>
      <color theme="1"/>
      <name val="Calibri"/>
      <family val="2"/>
      <scheme val="minor"/>
    </font>
    <font>
      <sz val="12"/>
      <color theme="1"/>
      <name val="Calibri"/>
      <family val="2"/>
      <scheme val="minor"/>
    </font>
    <font>
      <b/>
      <sz val="12"/>
      <color theme="0"/>
      <name val="Calibri"/>
      <family val="2"/>
      <scheme val="minor"/>
    </font>
    <font>
      <sz val="12"/>
      <color theme="0"/>
      <name val="Calibri"/>
      <family val="2"/>
      <scheme val="minor"/>
    </font>
    <font>
      <b/>
      <sz val="10"/>
      <color rgb="FFFFFFFF"/>
      <name val="Arial"/>
      <family val="2"/>
    </font>
    <font>
      <sz val="10"/>
      <color theme="1"/>
      <name val="Calibri"/>
      <family val="2"/>
    </font>
    <font>
      <sz val="11"/>
      <color theme="1"/>
      <name val="Calibri"/>
      <family val="2"/>
    </font>
    <font>
      <b/>
      <sz val="11"/>
      <color rgb="FF000000"/>
      <name val="Calibri"/>
      <family val="2"/>
    </font>
    <font>
      <b/>
      <sz val="11"/>
      <color theme="1"/>
      <name val="Arial"/>
      <family val="2"/>
    </font>
    <font>
      <b/>
      <sz val="8"/>
      <color theme="1"/>
      <name val="Tahoma"/>
      <family val="2"/>
    </font>
    <font>
      <b/>
      <sz val="8"/>
      <color rgb="FF000080"/>
      <name val="Tahoma"/>
      <family val="2"/>
    </font>
    <font>
      <b/>
      <sz val="11"/>
      <color theme="1"/>
      <name val="Calibri"/>
      <family val="2"/>
    </font>
    <font>
      <b/>
      <sz val="10"/>
      <color theme="1"/>
      <name val="Tahoma"/>
      <family val="2"/>
    </font>
    <font>
      <sz val="10"/>
      <color theme="1"/>
      <name val="Tahoma"/>
      <family val="2"/>
    </font>
    <font>
      <sz val="10"/>
      <color rgb="FF333333"/>
      <name val="Arial"/>
      <family val="2"/>
    </font>
    <font>
      <sz val="12"/>
      <color rgb="FFFF0000"/>
      <name val="Arial"/>
      <family val="2"/>
    </font>
    <font>
      <b/>
      <sz val="14"/>
      <color theme="1"/>
      <name val="Arial"/>
      <family val="2"/>
    </font>
    <font>
      <b/>
      <sz val="14"/>
      <color theme="0"/>
      <name val="Arial"/>
      <family val="2"/>
    </font>
    <font>
      <b/>
      <sz val="12"/>
      <color theme="0"/>
      <name val="Arial"/>
      <family val="2"/>
    </font>
    <font>
      <sz val="10"/>
      <name val="Calibri"/>
      <family val="2"/>
      <scheme val="minor"/>
    </font>
    <font>
      <sz val="11"/>
      <color rgb="FFFF0000"/>
      <name val="Arial"/>
      <family val="2"/>
    </font>
    <font>
      <b/>
      <sz val="10"/>
      <color rgb="FF0070C0"/>
      <name val="Arial"/>
      <family val="2"/>
    </font>
    <font>
      <sz val="10"/>
      <color rgb="FF0070C0"/>
      <name val="Arial"/>
      <family val="2"/>
    </font>
    <font>
      <sz val="8"/>
      <color theme="1"/>
      <name val="Calibri"/>
      <family val="2"/>
      <scheme val="minor"/>
    </font>
    <font>
      <sz val="8"/>
      <color rgb="FFFF0000"/>
      <name val="Calibri"/>
      <family val="2"/>
      <scheme val="minor"/>
    </font>
    <font>
      <sz val="8"/>
      <name val="Calibri"/>
      <family val="2"/>
      <scheme val="minor"/>
    </font>
    <font>
      <b/>
      <sz val="10"/>
      <color theme="1"/>
      <name val="Broadway BT"/>
    </font>
    <font>
      <b/>
      <sz val="12"/>
      <color theme="1"/>
      <name val="Arial"/>
      <family val="2"/>
    </font>
    <font>
      <sz val="8"/>
      <color theme="1"/>
      <name val="Tahoma"/>
      <family val="2"/>
    </font>
    <font>
      <b/>
      <i/>
      <sz val="8"/>
      <color theme="1"/>
      <name val="Tahoma"/>
      <family val="2"/>
    </font>
    <font>
      <b/>
      <sz val="9.5"/>
      <color theme="1"/>
      <name val="Tahoma"/>
      <family val="2"/>
    </font>
    <font>
      <sz val="7"/>
      <color theme="1"/>
      <name val="Tahoma"/>
      <family val="2"/>
    </font>
    <font>
      <i/>
      <sz val="9"/>
      <name val="Calibri"/>
      <family val="2"/>
      <scheme val="minor"/>
    </font>
    <font>
      <b/>
      <sz val="10"/>
      <color rgb="FF000000"/>
      <name val="Tahoma"/>
      <family val="2"/>
    </font>
  </fonts>
  <fills count="77">
    <fill>
      <patternFill patternType="none"/>
    </fill>
    <fill>
      <patternFill patternType="gray125"/>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FFC000"/>
        <bgColor indexed="64"/>
      </patternFill>
    </fill>
    <fill>
      <patternFill patternType="solid">
        <fgColor theme="0"/>
        <bgColor indexed="64"/>
      </patternFill>
    </fill>
    <fill>
      <patternFill patternType="solid">
        <fgColor theme="4" tint="-0.499984740745262"/>
        <bgColor indexed="64"/>
      </patternFill>
    </fill>
    <fill>
      <patternFill patternType="solid">
        <fgColor theme="0"/>
        <bgColor rgb="FF000000"/>
      </patternFill>
    </fill>
    <fill>
      <patternFill patternType="solid">
        <fgColor theme="4" tint="-0.499984740745262"/>
        <bgColor rgb="FF000000"/>
      </patternFill>
    </fill>
    <fill>
      <patternFill patternType="solid">
        <fgColor theme="4" tint="-0.249977111117893"/>
        <bgColor indexed="64"/>
      </patternFill>
    </fill>
    <fill>
      <patternFill patternType="solid">
        <fgColor rgb="FFA6A6A6"/>
        <bgColor rgb="FF000000"/>
      </patternFill>
    </fill>
    <fill>
      <patternFill patternType="solid">
        <fgColor rgb="FF203764"/>
        <bgColor rgb="FF000000"/>
      </patternFill>
    </fill>
    <fill>
      <patternFill patternType="solid">
        <fgColor rgb="FFFFFFFF"/>
        <bgColor rgb="FF000000"/>
      </patternFill>
    </fill>
    <fill>
      <patternFill patternType="solid">
        <fgColor theme="4"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7"/>
        <bgColor indexed="64"/>
      </patternFill>
    </fill>
    <fill>
      <patternFill patternType="solid">
        <fgColor theme="5"/>
        <bgColor indexed="64"/>
      </patternFill>
    </fill>
    <fill>
      <patternFill patternType="solid">
        <fgColor rgb="FF00B050"/>
        <bgColor indexed="64"/>
      </patternFill>
    </fill>
    <fill>
      <patternFill patternType="solid">
        <fgColor theme="8" tint="0.59999389629810485"/>
        <bgColor indexed="64"/>
      </patternFill>
    </fill>
    <fill>
      <patternFill patternType="solid">
        <fgColor theme="8"/>
        <bgColor indexed="64"/>
      </patternFill>
    </fill>
    <fill>
      <patternFill patternType="solid">
        <fgColor theme="9" tint="-0.249977111117893"/>
        <bgColor indexed="64"/>
      </patternFill>
    </fill>
    <fill>
      <patternFill patternType="solid">
        <fgColor rgb="FFFF0000"/>
        <bgColor indexed="64"/>
      </patternFill>
    </fill>
    <fill>
      <patternFill patternType="solid">
        <fgColor theme="8" tint="-0.249977111117893"/>
        <bgColor indexed="64"/>
      </patternFill>
    </fill>
    <fill>
      <patternFill patternType="solid">
        <fgColor theme="5" tint="0.39997558519241921"/>
        <bgColor rgb="FF000000"/>
      </patternFill>
    </fill>
    <fill>
      <patternFill patternType="solid">
        <fgColor theme="6" tint="-0.249977111117893"/>
        <bgColor indexed="64"/>
      </patternFill>
    </fill>
    <fill>
      <patternFill patternType="solid">
        <fgColor rgb="FFFF66FF"/>
        <bgColor indexed="64"/>
      </patternFill>
    </fill>
    <fill>
      <patternFill patternType="solid">
        <fgColor rgb="FF00FF00"/>
        <bgColor indexed="64"/>
      </patternFill>
    </fill>
    <fill>
      <patternFill patternType="solid">
        <fgColor rgb="FF66FFFF"/>
        <bgColor indexed="64"/>
      </patternFill>
    </fill>
    <fill>
      <patternFill patternType="solid">
        <fgColor rgb="FFCC00CC"/>
        <bgColor indexed="64"/>
      </patternFill>
    </fill>
    <fill>
      <patternFill patternType="solid">
        <fgColor rgb="FFFF6600"/>
        <bgColor indexed="64"/>
      </patternFill>
    </fill>
    <fill>
      <patternFill patternType="solid">
        <fgColor rgb="FF7030A0"/>
        <bgColor indexed="64"/>
      </patternFill>
    </fill>
    <fill>
      <patternFill patternType="solid">
        <fgColor rgb="FFCC99FF"/>
        <bgColor indexed="64"/>
      </patternFill>
    </fill>
    <fill>
      <patternFill patternType="solid">
        <fgColor theme="5" tint="0.39997558519241921"/>
        <bgColor indexed="64"/>
      </patternFill>
    </fill>
    <fill>
      <patternFill patternType="solid">
        <fgColor rgb="FF99FF33"/>
        <bgColor indexed="64"/>
      </patternFill>
    </fill>
    <fill>
      <patternFill patternType="solid">
        <fgColor theme="9" tint="0.59999389629810485"/>
        <bgColor indexed="64"/>
      </patternFill>
    </fill>
    <fill>
      <patternFill patternType="gray125">
        <bgColor rgb="FFE5E5E5"/>
      </patternFill>
    </fill>
  </fills>
  <borders count="66">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rgb="FFFFFFFF"/>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style="thin">
        <color indexed="64"/>
      </bottom>
      <diagonal/>
    </border>
    <border>
      <left style="thin">
        <color theme="0"/>
      </left>
      <right style="thin">
        <color theme="0"/>
      </right>
      <top style="thin">
        <color rgb="FFFFFFFF"/>
      </top>
      <bottom style="thin">
        <color theme="0"/>
      </bottom>
      <diagonal/>
    </border>
    <border>
      <left style="medium">
        <color theme="0"/>
      </left>
      <right/>
      <top style="medium">
        <color theme="0"/>
      </top>
      <bottom/>
      <diagonal/>
    </border>
    <border>
      <left/>
      <right/>
      <top style="medium">
        <color theme="0"/>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s>
  <cellStyleXfs count="184">
    <xf numFmtId="0" fontId="0" fillId="0" borderId="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9" fillId="23" borderId="44" applyNumberFormat="0" applyAlignment="0" applyProtection="0"/>
    <xf numFmtId="0" fontId="30" fillId="24" borderId="45" applyNumberFormat="0" applyAlignment="0" applyProtection="0"/>
    <xf numFmtId="0" fontId="31" fillId="0" borderId="46" applyNumberFormat="0" applyFill="0" applyAlignment="0" applyProtection="0"/>
    <xf numFmtId="43" fontId="2" fillId="0" borderId="0" applyFont="0" applyFill="0" applyBorder="0" applyAlignment="0" applyProtection="0"/>
    <xf numFmtId="0" fontId="32" fillId="0" borderId="0" applyNumberFormat="0" applyFill="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33" fillId="31" borderId="44" applyNumberFormat="0" applyAlignment="0" applyProtection="0"/>
    <xf numFmtId="173" fontId="2" fillId="0" borderId="0" applyFill="0" applyBorder="0" applyAlignment="0" applyProtection="0"/>
    <xf numFmtId="0" fontId="19" fillId="0" borderId="0"/>
    <xf numFmtId="0" fontId="11" fillId="0" borderId="0"/>
    <xf numFmtId="0" fontId="34" fillId="0" borderId="0" applyNumberFormat="0" applyFill="0" applyBorder="0" applyAlignment="0" applyProtection="0"/>
    <xf numFmtId="0" fontId="35" fillId="0" borderId="0" applyNumberFormat="0" applyFill="0" applyBorder="0" applyAlignment="0" applyProtection="0">
      <alignment vertical="top"/>
      <protection locked="0"/>
    </xf>
    <xf numFmtId="0" fontId="36" fillId="32" borderId="0" applyNumberFormat="0" applyBorder="0" applyAlignment="0" applyProtection="0"/>
    <xf numFmtId="43" fontId="27" fillId="0" borderId="0" applyFont="0" applyFill="0" applyBorder="0" applyAlignment="0" applyProtection="0"/>
    <xf numFmtId="41" fontId="27" fillId="0" borderId="0" applyFont="0" applyFill="0" applyBorder="0" applyAlignment="0" applyProtection="0"/>
    <xf numFmtId="164" fontId="27" fillId="0" borderId="0" applyFont="0" applyFill="0" applyBorder="0" applyAlignment="0" applyProtection="0"/>
    <xf numFmtId="175" fontId="2" fillId="0" borderId="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41" fontId="2" fillId="0" borderId="0" applyFont="0" applyFill="0" applyBorder="0" applyAlignment="0" applyProtection="0"/>
    <xf numFmtId="41" fontId="27" fillId="0" borderId="0" applyFont="0" applyFill="0" applyBorder="0" applyAlignment="0" applyProtection="0"/>
    <xf numFmtId="165" fontId="27" fillId="0" borderId="0" applyFont="0" applyFill="0" applyBorder="0" applyAlignment="0" applyProtection="0"/>
    <xf numFmtId="171"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71"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71"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1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7" fillId="0" borderId="0" applyFont="0" applyFill="0" applyBorder="0" applyAlignment="0" applyProtection="0"/>
    <xf numFmtId="171"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74" fontId="2" fillId="0" borderId="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76" fontId="11"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0" fontId="37" fillId="33" borderId="0" applyNumberFormat="0" applyBorder="0" applyAlignment="0" applyProtection="0"/>
    <xf numFmtId="0" fontId="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8" fillId="0" borderId="0"/>
    <xf numFmtId="0" fontId="2" fillId="0" borderId="0"/>
    <xf numFmtId="0" fontId="2" fillId="0" borderId="0"/>
    <xf numFmtId="0" fontId="2" fillId="0" borderId="0"/>
    <xf numFmtId="0" fontId="2" fillId="0" borderId="0"/>
    <xf numFmtId="0" fontId="27" fillId="0" borderId="0"/>
    <xf numFmtId="0" fontId="27" fillId="0" borderId="0"/>
    <xf numFmtId="0" fontId="2" fillId="0" borderId="0" applyNumberFormat="0" applyFill="0" applyBorder="0" applyAlignment="0" applyProtection="0"/>
    <xf numFmtId="0" fontId="38"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7" fillId="0" borderId="0"/>
    <xf numFmtId="0" fontId="18" fillId="0" borderId="0"/>
    <xf numFmtId="0" fontId="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34" borderId="47" applyNumberFormat="0" applyFont="0" applyAlignment="0" applyProtection="0"/>
    <xf numFmtId="9" fontId="27" fillId="0" borderId="0" applyFont="0" applyFill="0" applyBorder="0" applyAlignment="0" applyProtection="0"/>
    <xf numFmtId="9" fontId="2" fillId="0" borderId="0" applyFill="0" applyBorder="0" applyAlignment="0" applyProtection="0"/>
    <xf numFmtId="0" fontId="39" fillId="23" borderId="48"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49" applyNumberFormat="0" applyFill="0" applyAlignment="0" applyProtection="0"/>
    <xf numFmtId="0" fontId="32" fillId="0" borderId="50" applyNumberFormat="0" applyFill="0" applyAlignment="0" applyProtection="0"/>
    <xf numFmtId="0" fontId="43" fillId="0" borderId="0" applyNumberFormat="0" applyFill="0" applyBorder="0" applyAlignment="0" applyProtection="0"/>
    <xf numFmtId="0" fontId="44" fillId="0" borderId="51" applyNumberFormat="0" applyFill="0" applyAlignment="0" applyProtection="0"/>
  </cellStyleXfs>
  <cellXfs count="848">
    <xf numFmtId="0" fontId="0" fillId="0" borderId="0" xfId="0"/>
    <xf numFmtId="0" fontId="45" fillId="0" borderId="0" xfId="0" applyFont="1"/>
    <xf numFmtId="0" fontId="46" fillId="0" borderId="0" xfId="0" applyFont="1" applyAlignment="1">
      <alignment horizontal="right"/>
    </xf>
    <xf numFmtId="0" fontId="45" fillId="0" borderId="0" xfId="0" applyFont="1" applyAlignment="1">
      <alignment horizontal="left"/>
    </xf>
    <xf numFmtId="0" fontId="45" fillId="35" borderId="0" xfId="0" applyFont="1" applyFill="1"/>
    <xf numFmtId="0" fontId="45" fillId="35" borderId="0" xfId="0" applyFont="1" applyFill="1" applyAlignment="1">
      <alignment horizontal="left"/>
    </xf>
    <xf numFmtId="0" fontId="47" fillId="0" borderId="0" xfId="0" applyFont="1" applyAlignment="1">
      <alignment horizontal="center" vertical="center"/>
    </xf>
    <xf numFmtId="0" fontId="45" fillId="0" borderId="1" xfId="0" applyFont="1" applyBorder="1"/>
    <xf numFmtId="0" fontId="1" fillId="36" borderId="2" xfId="0" applyFont="1" applyFill="1" applyBorder="1" applyAlignment="1">
      <alignment horizontal="center" vertical="center"/>
    </xf>
    <xf numFmtId="0" fontId="46" fillId="0" borderId="3" xfId="0" applyFont="1" applyBorder="1" applyAlignment="1">
      <alignment horizontal="center" vertical="center"/>
    </xf>
    <xf numFmtId="0" fontId="1" fillId="36" borderId="4" xfId="0" applyFont="1" applyFill="1" applyBorder="1" applyAlignment="1">
      <alignment vertical="center"/>
    </xf>
    <xf numFmtId="0" fontId="1" fillId="36" borderId="0" xfId="0" applyFont="1" applyFill="1" applyAlignment="1">
      <alignment vertical="center"/>
    </xf>
    <xf numFmtId="0" fontId="46" fillId="0" borderId="5" xfId="0" applyFont="1" applyBorder="1" applyAlignment="1">
      <alignment horizontal="center" vertical="center"/>
    </xf>
    <xf numFmtId="0" fontId="45" fillId="0" borderId="4" xfId="0" applyFont="1" applyBorder="1"/>
    <xf numFmtId="0" fontId="34" fillId="0" borderId="5" xfId="34" applyBorder="1" applyAlignment="1">
      <alignment horizontal="center"/>
    </xf>
    <xf numFmtId="0" fontId="34" fillId="0" borderId="5" xfId="34" quotePrefix="1" applyBorder="1" applyAlignment="1">
      <alignment horizontal="center"/>
    </xf>
    <xf numFmtId="0" fontId="48" fillId="0" borderId="5" xfId="34" quotePrefix="1" applyFont="1" applyBorder="1" applyAlignment="1">
      <alignment horizontal="center"/>
    </xf>
    <xf numFmtId="0" fontId="45" fillId="0" borderId="6" xfId="0" applyFont="1" applyBorder="1"/>
    <xf numFmtId="0" fontId="45" fillId="0" borderId="7" xfId="0" applyFont="1" applyBorder="1"/>
    <xf numFmtId="0" fontId="34" fillId="0" borderId="8" xfId="34" applyBorder="1" applyAlignment="1">
      <alignment horizontal="center" vertical="center"/>
    </xf>
    <xf numFmtId="0" fontId="46" fillId="0" borderId="0" xfId="0" applyFont="1" applyAlignment="1">
      <alignment horizontal="center"/>
    </xf>
    <xf numFmtId="0" fontId="48" fillId="0" borderId="0" xfId="34" quotePrefix="1" applyFont="1" applyBorder="1" applyAlignment="1">
      <alignment horizontal="left"/>
    </xf>
    <xf numFmtId="0" fontId="49" fillId="0" borderId="0" xfId="0" applyFont="1" applyAlignment="1">
      <alignment horizontal="center" vertical="center"/>
    </xf>
    <xf numFmtId="0" fontId="50" fillId="0" borderId="0" xfId="0" applyFont="1" applyAlignment="1">
      <alignment vertical="center"/>
    </xf>
    <xf numFmtId="0" fontId="51" fillId="0" borderId="0" xfId="0" applyFont="1" applyAlignment="1">
      <alignment vertical="center"/>
    </xf>
    <xf numFmtId="0" fontId="0" fillId="0" borderId="0" xfId="0" applyAlignment="1">
      <alignment horizontal="center"/>
    </xf>
    <xf numFmtId="0" fontId="47" fillId="0" borderId="0" xfId="0" applyFont="1"/>
    <xf numFmtId="0" fontId="34" fillId="36" borderId="0" xfId="34" applyFill="1" applyAlignment="1">
      <alignment horizontal="center" vertical="center"/>
    </xf>
    <xf numFmtId="0" fontId="47" fillId="36" borderId="0" xfId="0" applyFont="1" applyFill="1"/>
    <xf numFmtId="0" fontId="52" fillId="0" borderId="0" xfId="0" applyFont="1"/>
    <xf numFmtId="164" fontId="47" fillId="0" borderId="0" xfId="0" applyNumberFormat="1" applyFont="1"/>
    <xf numFmtId="0" fontId="53" fillId="0" borderId="0" xfId="0" applyFont="1"/>
    <xf numFmtId="0" fontId="53" fillId="36" borderId="0" xfId="0" applyFont="1" applyFill="1"/>
    <xf numFmtId="0" fontId="53" fillId="37" borderId="0" xfId="0" applyFont="1" applyFill="1"/>
    <xf numFmtId="0" fontId="54" fillId="37" borderId="0" xfId="37" applyNumberFormat="1" applyFont="1" applyFill="1" applyAlignment="1">
      <alignment horizontal="center"/>
    </xf>
    <xf numFmtId="0" fontId="54" fillId="36" borderId="0" xfId="0" applyFont="1" applyFill="1" applyAlignment="1">
      <alignment horizontal="center" vertical="center"/>
    </xf>
    <xf numFmtId="0" fontId="1" fillId="0" borderId="0" xfId="0" applyFont="1"/>
    <xf numFmtId="0" fontId="45" fillId="36" borderId="0" xfId="0" applyFont="1" applyFill="1" applyAlignment="1">
      <alignment horizontal="center" vertical="center"/>
    </xf>
    <xf numFmtId="166" fontId="45" fillId="0" borderId="0" xfId="37" applyNumberFormat="1" applyFont="1" applyFill="1"/>
    <xf numFmtId="0" fontId="34" fillId="0" borderId="0" xfId="34" applyAlignment="1">
      <alignment horizontal="center"/>
    </xf>
    <xf numFmtId="41" fontId="45" fillId="0" borderId="0" xfId="38" applyFont="1" applyFill="1"/>
    <xf numFmtId="166" fontId="53" fillId="0" borderId="0" xfId="0" applyNumberFormat="1" applyFont="1"/>
    <xf numFmtId="166" fontId="1" fillId="0" borderId="9" xfId="37" applyNumberFormat="1" applyFont="1" applyFill="1" applyBorder="1"/>
    <xf numFmtId="166" fontId="2" fillId="0" borderId="0" xfId="37" applyNumberFormat="1" applyFont="1" applyFill="1"/>
    <xf numFmtId="0" fontId="55" fillId="36" borderId="0" xfId="0" applyFont="1" applyFill="1" applyAlignment="1">
      <alignment horizontal="center" vertical="center"/>
    </xf>
    <xf numFmtId="166" fontId="54" fillId="37" borderId="0" xfId="37" applyNumberFormat="1" applyFont="1" applyFill="1" applyBorder="1"/>
    <xf numFmtId="166" fontId="54" fillId="37" borderId="2" xfId="37" applyNumberFormat="1" applyFont="1" applyFill="1" applyBorder="1"/>
    <xf numFmtId="167" fontId="56" fillId="36" borderId="0" xfId="37" applyNumberFormat="1" applyFont="1" applyFill="1" applyAlignment="1">
      <alignment horizontal="center"/>
    </xf>
    <xf numFmtId="167" fontId="56" fillId="36" borderId="0" xfId="37" applyNumberFormat="1" applyFont="1" applyFill="1" applyBorder="1" applyAlignment="1">
      <alignment horizontal="center"/>
    </xf>
    <xf numFmtId="0" fontId="57" fillId="0" borderId="0" xfId="0" applyFont="1"/>
    <xf numFmtId="166" fontId="45" fillId="0" borderId="0" xfId="0" applyNumberFormat="1" applyFont="1"/>
    <xf numFmtId="166" fontId="45" fillId="36" borderId="0" xfId="0" applyNumberFormat="1" applyFont="1" applyFill="1" applyAlignment="1">
      <alignment horizontal="center" vertical="center"/>
    </xf>
    <xf numFmtId="0" fontId="1" fillId="36" borderId="0" xfId="0" applyFont="1" applyFill="1" applyAlignment="1">
      <alignment horizontal="center" vertical="center"/>
    </xf>
    <xf numFmtId="166" fontId="58" fillId="37" borderId="0" xfId="37" applyNumberFormat="1" applyFont="1" applyFill="1" applyBorder="1"/>
    <xf numFmtId="0" fontId="3" fillId="36" borderId="0" xfId="0" applyFont="1" applyFill="1" applyAlignment="1">
      <alignment horizontal="center" vertical="center"/>
    </xf>
    <xf numFmtId="166" fontId="59" fillId="0" borderId="0" xfId="0" applyNumberFormat="1" applyFont="1"/>
    <xf numFmtId="0" fontId="53" fillId="36" borderId="0" xfId="0" applyFont="1" applyFill="1" applyAlignment="1">
      <alignment horizontal="center" vertical="center"/>
    </xf>
    <xf numFmtId="0" fontId="4" fillId="0" borderId="0" xfId="0" applyFont="1"/>
    <xf numFmtId="168" fontId="60" fillId="0" borderId="0" xfId="38" applyNumberFormat="1" applyFont="1" applyFill="1"/>
    <xf numFmtId="0" fontId="61" fillId="0" borderId="0" xfId="0" applyFont="1"/>
    <xf numFmtId="166" fontId="62" fillId="0" borderId="0" xfId="37" applyNumberFormat="1" applyFont="1" applyFill="1" applyAlignment="1"/>
    <xf numFmtId="166" fontId="62" fillId="36" borderId="0" xfId="37" applyNumberFormat="1" applyFont="1" applyFill="1" applyAlignment="1">
      <alignment horizontal="center" vertical="center"/>
    </xf>
    <xf numFmtId="0" fontId="62" fillId="0" borderId="0" xfId="0" applyFont="1"/>
    <xf numFmtId="166" fontId="5" fillId="0" borderId="0" xfId="37" applyNumberFormat="1" applyFont="1" applyFill="1" applyAlignment="1"/>
    <xf numFmtId="166" fontId="5" fillId="0" borderId="0" xfId="37" applyNumberFormat="1" applyFont="1" applyFill="1" applyAlignment="1">
      <alignment horizontal="left"/>
    </xf>
    <xf numFmtId="166" fontId="5" fillId="0" borderId="0" xfId="37" applyNumberFormat="1" applyFont="1" applyFill="1" applyAlignment="1">
      <alignment horizontal="center" vertical="center"/>
    </xf>
    <xf numFmtId="0" fontId="5" fillId="0" borderId="0" xfId="0" applyFont="1"/>
    <xf numFmtId="0" fontId="5" fillId="36" borderId="0" xfId="0" applyFont="1" applyFill="1" applyAlignment="1">
      <alignment horizontal="center" vertical="center"/>
    </xf>
    <xf numFmtId="0" fontId="62" fillId="36" borderId="0" xfId="0" applyFont="1" applyFill="1" applyAlignment="1">
      <alignment horizontal="center" vertical="center"/>
    </xf>
    <xf numFmtId="166" fontId="6" fillId="0" borderId="0" xfId="37" applyNumberFormat="1" applyFont="1" applyFill="1"/>
    <xf numFmtId="0" fontId="6" fillId="0" borderId="0" xfId="0" applyFont="1"/>
    <xf numFmtId="0" fontId="6" fillId="36" borderId="0" xfId="0" applyFont="1" applyFill="1" applyAlignment="1">
      <alignment horizontal="center" vertical="center"/>
    </xf>
    <xf numFmtId="43" fontId="47" fillId="0" borderId="0" xfId="37" applyFont="1" applyFill="1"/>
    <xf numFmtId="43" fontId="47" fillId="36" borderId="0" xfId="37" applyFont="1" applyFill="1" applyAlignment="1">
      <alignment horizontal="center" vertical="center"/>
    </xf>
    <xf numFmtId="0" fontId="47" fillId="36" borderId="0" xfId="0" applyFont="1" applyFill="1" applyAlignment="1">
      <alignment horizontal="center" vertical="center"/>
    </xf>
    <xf numFmtId="166" fontId="47" fillId="0" borderId="0" xfId="37" applyNumberFormat="1" applyFont="1" applyFill="1"/>
    <xf numFmtId="0" fontId="6" fillId="36" borderId="0" xfId="0" applyFont="1" applyFill="1"/>
    <xf numFmtId="3" fontId="45" fillId="0" borderId="0" xfId="0" applyNumberFormat="1" applyFont="1" applyAlignment="1">
      <alignment horizontal="center"/>
    </xf>
    <xf numFmtId="3" fontId="1" fillId="0" borderId="0" xfId="0" applyNumberFormat="1" applyFont="1" applyAlignment="1">
      <alignment horizontal="center"/>
    </xf>
    <xf numFmtId="43" fontId="45" fillId="0" borderId="0" xfId="37" applyFont="1" applyFill="1"/>
    <xf numFmtId="43" fontId="45" fillId="36" borderId="0" xfId="37" applyFont="1" applyFill="1" applyAlignment="1">
      <alignment horizontal="center" vertical="center"/>
    </xf>
    <xf numFmtId="3" fontId="45" fillId="0" borderId="0" xfId="37" applyNumberFormat="1" applyFont="1" applyFill="1" applyAlignment="1">
      <alignment horizontal="center"/>
    </xf>
    <xf numFmtId="166" fontId="63" fillId="37" borderId="0" xfId="0" applyNumberFormat="1" applyFont="1" applyFill="1" applyAlignment="1">
      <alignment horizontal="center" vertical="center"/>
    </xf>
    <xf numFmtId="167" fontId="54" fillId="37" borderId="0" xfId="37" applyNumberFormat="1" applyFont="1" applyFill="1" applyAlignment="1">
      <alignment horizontal="center" vertical="center"/>
    </xf>
    <xf numFmtId="1" fontId="54" fillId="37" borderId="0" xfId="37" applyNumberFormat="1" applyFont="1" applyFill="1" applyAlignment="1">
      <alignment horizontal="center"/>
    </xf>
    <xf numFmtId="0" fontId="46" fillId="0" borderId="0" xfId="0" applyFont="1"/>
    <xf numFmtId="0" fontId="1" fillId="0" borderId="0" xfId="0" applyFont="1" applyAlignment="1">
      <alignment wrapText="1"/>
    </xf>
    <xf numFmtId="3" fontId="46" fillId="0" borderId="0" xfId="37" applyNumberFormat="1" applyFont="1" applyFill="1" applyAlignment="1">
      <alignment horizontal="center"/>
    </xf>
    <xf numFmtId="0" fontId="44" fillId="0" borderId="0" xfId="0" applyFont="1"/>
    <xf numFmtId="3" fontId="1" fillId="0" borderId="0" xfId="37" applyNumberFormat="1" applyFont="1" applyFill="1" applyBorder="1" applyAlignment="1">
      <alignment horizontal="center"/>
    </xf>
    <xf numFmtId="166" fontId="45" fillId="0" borderId="0" xfId="37" applyNumberFormat="1" applyFont="1" applyFill="1" applyAlignment="1">
      <alignment horizontal="center"/>
    </xf>
    <xf numFmtId="166" fontId="45" fillId="36" borderId="0" xfId="37" applyNumberFormat="1" applyFont="1" applyFill="1" applyAlignment="1">
      <alignment horizontal="center" vertical="center"/>
    </xf>
    <xf numFmtId="166" fontId="1" fillId="0" borderId="0" xfId="37" applyNumberFormat="1" applyFont="1" applyFill="1"/>
    <xf numFmtId="166" fontId="1" fillId="36" borderId="0" xfId="37" applyNumberFormat="1" applyFont="1" applyFill="1" applyAlignment="1">
      <alignment horizontal="center" vertical="center"/>
    </xf>
    <xf numFmtId="3" fontId="1" fillId="0" borderId="0" xfId="37" applyNumberFormat="1" applyFont="1" applyFill="1" applyAlignment="1">
      <alignment horizontal="center"/>
    </xf>
    <xf numFmtId="0" fontId="45" fillId="0" borderId="0" xfId="0" applyFont="1" applyAlignment="1">
      <alignment horizontal="center"/>
    </xf>
    <xf numFmtId="166" fontId="45" fillId="0" borderId="0" xfId="37" applyNumberFormat="1" applyFont="1"/>
    <xf numFmtId="166" fontId="45" fillId="0" borderId="0" xfId="37" applyNumberFormat="1" applyFont="1" applyBorder="1"/>
    <xf numFmtId="166" fontId="34" fillId="0" borderId="0" xfId="34" applyNumberFormat="1" applyAlignment="1">
      <alignment horizontal="center" vertical="center"/>
    </xf>
    <xf numFmtId="166" fontId="57" fillId="0" borderId="0" xfId="37" applyNumberFormat="1" applyFont="1"/>
    <xf numFmtId="0" fontId="7" fillId="0" borderId="0" xfId="0" applyFont="1"/>
    <xf numFmtId="0" fontId="64" fillId="0" borderId="0" xfId="0" applyFont="1" applyAlignment="1">
      <alignment horizontal="center"/>
    </xf>
    <xf numFmtId="166" fontId="65" fillId="0" borderId="0" xfId="37" applyNumberFormat="1" applyFont="1"/>
    <xf numFmtId="166" fontId="65" fillId="0" borderId="0" xfId="37" applyNumberFormat="1" applyFont="1" applyBorder="1"/>
    <xf numFmtId="170" fontId="45" fillId="0" borderId="0" xfId="0" applyNumberFormat="1" applyFont="1" applyAlignment="1">
      <alignment horizontal="right"/>
    </xf>
    <xf numFmtId="0" fontId="58" fillId="37" borderId="0" xfId="0" applyFont="1" applyFill="1" applyAlignment="1">
      <alignment horizontal="center" vertical="center" wrapText="1"/>
    </xf>
    <xf numFmtId="0" fontId="64" fillId="0" borderId="0" xfId="0" applyFont="1"/>
    <xf numFmtId="166" fontId="64" fillId="0" borderId="0" xfId="37" applyNumberFormat="1" applyFont="1"/>
    <xf numFmtId="0" fontId="8" fillId="0" borderId="0" xfId="0" applyFont="1"/>
    <xf numFmtId="166" fontId="8" fillId="0" borderId="0" xfId="37" applyNumberFormat="1" applyFont="1"/>
    <xf numFmtId="0" fontId="8" fillId="0" borderId="0" xfId="0" applyFont="1" applyAlignment="1">
      <alignment horizontal="center"/>
    </xf>
    <xf numFmtId="0" fontId="63" fillId="37" borderId="0" xfId="0" applyFont="1" applyFill="1" applyAlignment="1">
      <alignment horizontal="center" vertical="center"/>
    </xf>
    <xf numFmtId="166" fontId="64" fillId="0" borderId="0" xfId="37" applyNumberFormat="1" applyFont="1" applyAlignment="1">
      <alignment horizontal="center"/>
    </xf>
    <xf numFmtId="3" fontId="64" fillId="0" borderId="0" xfId="38" applyNumberFormat="1" applyFont="1"/>
    <xf numFmtId="169" fontId="45" fillId="0" borderId="0" xfId="0" applyNumberFormat="1" applyFont="1"/>
    <xf numFmtId="3" fontId="64" fillId="0" borderId="0" xfId="38" applyNumberFormat="1" applyFont="1" applyBorder="1"/>
    <xf numFmtId="0" fontId="66" fillId="37" borderId="0" xfId="0" applyFont="1" applyFill="1"/>
    <xf numFmtId="169" fontId="66" fillId="37" borderId="0" xfId="37" applyNumberFormat="1" applyFont="1" applyFill="1" applyBorder="1"/>
    <xf numFmtId="169" fontId="64" fillId="0" borderId="0" xfId="37" applyNumberFormat="1" applyFont="1"/>
    <xf numFmtId="0" fontId="66" fillId="0" borderId="0" xfId="0" applyFont="1"/>
    <xf numFmtId="169" fontId="66" fillId="0" borderId="0" xfId="37" applyNumberFormat="1" applyFont="1" applyFill="1" applyBorder="1"/>
    <xf numFmtId="0" fontId="67" fillId="0" borderId="0" xfId="0" applyFont="1"/>
    <xf numFmtId="0" fontId="68" fillId="37" borderId="0" xfId="0" applyFont="1" applyFill="1"/>
    <xf numFmtId="169" fontId="68" fillId="37" borderId="0" xfId="37" applyNumberFormat="1" applyFont="1" applyFill="1" applyBorder="1"/>
    <xf numFmtId="0" fontId="34" fillId="0" borderId="0" xfId="34"/>
    <xf numFmtId="0" fontId="58" fillId="37" borderId="0" xfId="0" applyFont="1" applyFill="1" applyAlignment="1">
      <alignment vertical="center"/>
    </xf>
    <xf numFmtId="0" fontId="46" fillId="0" borderId="0" xfId="0" applyFont="1" applyAlignment="1">
      <alignment vertical="center"/>
    </xf>
    <xf numFmtId="0" fontId="45" fillId="0" borderId="0" xfId="0" applyFont="1" applyAlignment="1">
      <alignment vertical="center"/>
    </xf>
    <xf numFmtId="0" fontId="58" fillId="37" borderId="1" xfId="0" applyFont="1" applyFill="1" applyBorder="1" applyAlignment="1">
      <alignment vertical="center"/>
    </xf>
    <xf numFmtId="0" fontId="58" fillId="37" borderId="2" xfId="0" applyFont="1" applyFill="1" applyBorder="1" applyAlignment="1">
      <alignment vertical="center"/>
    </xf>
    <xf numFmtId="0" fontId="58" fillId="37" borderId="10" xfId="0" applyFont="1" applyFill="1" applyBorder="1" applyAlignment="1">
      <alignment vertical="center"/>
    </xf>
    <xf numFmtId="0" fontId="0" fillId="2" borderId="4" xfId="0" applyFill="1" applyBorder="1"/>
    <xf numFmtId="0" fontId="58" fillId="37" borderId="0" xfId="0" applyFont="1" applyFill="1" applyAlignment="1">
      <alignment horizontal="center" vertical="center"/>
    </xf>
    <xf numFmtId="0" fontId="0" fillId="2" borderId="0" xfId="0" applyFill="1"/>
    <xf numFmtId="0" fontId="44" fillId="2" borderId="7" xfId="0" applyFont="1" applyFill="1" applyBorder="1" applyAlignment="1">
      <alignment horizontal="center"/>
    </xf>
    <xf numFmtId="0" fontId="0" fillId="2" borderId="11" xfId="0" applyFill="1" applyBorder="1"/>
    <xf numFmtId="0" fontId="40" fillId="2" borderId="0" xfId="0" applyFont="1" applyFill="1"/>
    <xf numFmtId="0" fontId="40" fillId="2" borderId="7" xfId="0" applyFont="1" applyFill="1" applyBorder="1"/>
    <xf numFmtId="0" fontId="44" fillId="2" borderId="4" xfId="0" applyFont="1" applyFill="1" applyBorder="1"/>
    <xf numFmtId="41" fontId="69" fillId="2" borderId="0" xfId="38" applyFont="1" applyFill="1" applyBorder="1"/>
    <xf numFmtId="0" fontId="70" fillId="0" borderId="0" xfId="0" applyFont="1" applyAlignment="1">
      <alignment horizontal="justify" vertical="center"/>
    </xf>
    <xf numFmtId="0" fontId="58" fillId="37" borderId="0" xfId="0" applyFont="1" applyFill="1"/>
    <xf numFmtId="0" fontId="71" fillId="36" borderId="0" xfId="0" applyFont="1" applyFill="1"/>
    <xf numFmtId="0" fontId="72" fillId="0" borderId="0" xfId="0" applyFont="1" applyAlignment="1">
      <alignment vertical="center"/>
    </xf>
    <xf numFmtId="0" fontId="1" fillId="36" borderId="7" xfId="111" applyFont="1" applyFill="1" applyBorder="1" applyAlignment="1">
      <alignment horizontal="left"/>
    </xf>
    <xf numFmtId="0" fontId="10" fillId="36" borderId="0" xfId="111" applyFont="1" applyFill="1" applyBorder="1" applyAlignment="1">
      <alignment horizontal="center"/>
    </xf>
    <xf numFmtId="0" fontId="10" fillId="36" borderId="0" xfId="111" applyFont="1" applyFill="1" applyAlignment="1">
      <alignment horizontal="center"/>
    </xf>
    <xf numFmtId="14" fontId="4" fillId="36" borderId="0" xfId="115" applyNumberFormat="1" applyFont="1" applyFill="1" applyAlignment="1">
      <alignment horizontal="center"/>
    </xf>
    <xf numFmtId="0" fontId="2" fillId="36" borderId="0" xfId="115" applyFill="1"/>
    <xf numFmtId="3" fontId="2" fillId="36" borderId="0" xfId="115" applyNumberFormat="1" applyFill="1"/>
    <xf numFmtId="0" fontId="45" fillId="36" borderId="0" xfId="0" applyFont="1" applyFill="1"/>
    <xf numFmtId="0" fontId="1" fillId="36" borderId="0" xfId="115" applyFont="1" applyFill="1"/>
    <xf numFmtId="166" fontId="1" fillId="36" borderId="12" xfId="55" applyNumberFormat="1" applyFont="1" applyFill="1" applyBorder="1"/>
    <xf numFmtId="0" fontId="34" fillId="2" borderId="0" xfId="34" applyFill="1"/>
    <xf numFmtId="0" fontId="45" fillId="2" borderId="0" xfId="0" applyFont="1" applyFill="1"/>
    <xf numFmtId="0" fontId="72" fillId="2" borderId="0" xfId="0" applyFont="1" applyFill="1" applyAlignment="1">
      <alignment vertical="center"/>
    </xf>
    <xf numFmtId="0" fontId="46" fillId="36" borderId="0" xfId="0" applyFont="1" applyFill="1"/>
    <xf numFmtId="0" fontId="34" fillId="36" borderId="0" xfId="34" applyFill="1"/>
    <xf numFmtId="0" fontId="2" fillId="2" borderId="0" xfId="0" applyFont="1" applyFill="1"/>
    <xf numFmtId="0" fontId="45" fillId="0" borderId="0" xfId="0" applyFont="1" applyAlignment="1">
      <alignment horizontal="justify" vertical="center"/>
    </xf>
    <xf numFmtId="0" fontId="65" fillId="36" borderId="0" xfId="0" applyFont="1" applyFill="1"/>
    <xf numFmtId="0" fontId="58" fillId="0" borderId="0" xfId="0" applyFont="1" applyAlignment="1">
      <alignment vertical="center"/>
    </xf>
    <xf numFmtId="0" fontId="58" fillId="37" borderId="13" xfId="0" applyFont="1" applyFill="1" applyBorder="1" applyAlignment="1">
      <alignment horizontal="center" vertical="center"/>
    </xf>
    <xf numFmtId="0" fontId="46" fillId="36" borderId="14" xfId="0" applyFont="1" applyFill="1" applyBorder="1" applyAlignment="1">
      <alignment vertical="center"/>
    </xf>
    <xf numFmtId="14" fontId="46" fillId="36" borderId="15" xfId="0" applyNumberFormat="1" applyFont="1" applyFill="1" applyBorder="1" applyAlignment="1">
      <alignment vertical="center"/>
    </xf>
    <xf numFmtId="0" fontId="46" fillId="36" borderId="0" xfId="0" applyFont="1" applyFill="1" applyAlignment="1">
      <alignment vertical="center"/>
    </xf>
    <xf numFmtId="0" fontId="45" fillId="36" borderId="13" xfId="0" applyFont="1" applyFill="1" applyBorder="1"/>
    <xf numFmtId="0" fontId="46" fillId="36" borderId="1" xfId="0" applyFont="1" applyFill="1" applyBorder="1" applyAlignment="1">
      <alignment vertical="center"/>
    </xf>
    <xf numFmtId="0" fontId="46" fillId="36" borderId="13" xfId="0" applyFont="1" applyFill="1" applyBorder="1" applyAlignment="1">
      <alignment horizontal="center" vertical="center" wrapText="1"/>
    </xf>
    <xf numFmtId="0" fontId="45" fillId="36" borderId="14" xfId="0" applyFont="1" applyFill="1" applyBorder="1"/>
    <xf numFmtId="9" fontId="45" fillId="0" borderId="16" xfId="175" applyFont="1" applyFill="1" applyBorder="1" applyAlignment="1">
      <alignment horizontal="center"/>
    </xf>
    <xf numFmtId="0" fontId="45" fillId="36" borderId="3" xfId="0" applyFont="1" applyFill="1" applyBorder="1"/>
    <xf numFmtId="172" fontId="45" fillId="0" borderId="13" xfId="37" applyNumberFormat="1" applyFont="1" applyFill="1" applyBorder="1"/>
    <xf numFmtId="9" fontId="45" fillId="0" borderId="15" xfId="175" applyFont="1" applyFill="1" applyBorder="1" applyAlignment="1">
      <alignment horizontal="center"/>
    </xf>
    <xf numFmtId="0" fontId="73" fillId="36" borderId="14" xfId="0" applyFont="1" applyFill="1" applyBorder="1"/>
    <xf numFmtId="172" fontId="45" fillId="36" borderId="9" xfId="37" applyNumberFormat="1" applyFont="1" applyFill="1" applyBorder="1"/>
    <xf numFmtId="172" fontId="45" fillId="36" borderId="15" xfId="37" applyNumberFormat="1" applyFont="1" applyFill="1" applyBorder="1"/>
    <xf numFmtId="0" fontId="45" fillId="36" borderId="13" xfId="0" applyFont="1" applyFill="1" applyBorder="1" applyAlignment="1">
      <alignment wrapText="1"/>
    </xf>
    <xf numFmtId="172" fontId="45" fillId="36" borderId="13" xfId="37" applyNumberFormat="1" applyFont="1" applyFill="1" applyBorder="1"/>
    <xf numFmtId="172" fontId="45" fillId="36" borderId="16" xfId="37" applyNumberFormat="1" applyFont="1" applyFill="1" applyBorder="1"/>
    <xf numFmtId="0" fontId="2" fillId="36" borderId="13" xfId="0" applyFont="1" applyFill="1" applyBorder="1"/>
    <xf numFmtId="169" fontId="2" fillId="36" borderId="13" xfId="37" applyNumberFormat="1" applyFont="1" applyFill="1" applyBorder="1"/>
    <xf numFmtId="9" fontId="45" fillId="36" borderId="16" xfId="175" applyFont="1" applyFill="1" applyBorder="1"/>
    <xf numFmtId="0" fontId="45" fillId="36" borderId="9" xfId="0" applyFont="1" applyFill="1" applyBorder="1"/>
    <xf numFmtId="0" fontId="45" fillId="36" borderId="15" xfId="0" applyFont="1" applyFill="1" applyBorder="1"/>
    <xf numFmtId="0" fontId="2" fillId="36" borderId="13" xfId="0" applyFont="1" applyFill="1" applyBorder="1" applyAlignment="1">
      <alignment wrapText="1"/>
    </xf>
    <xf numFmtId="172" fontId="45" fillId="36" borderId="14" xfId="37" applyNumberFormat="1" applyFont="1" applyFill="1" applyBorder="1" applyAlignment="1">
      <alignment vertical="center"/>
    </xf>
    <xf numFmtId="0" fontId="45" fillId="36" borderId="2" xfId="0" applyFont="1" applyFill="1" applyBorder="1"/>
    <xf numFmtId="0" fontId="46" fillId="36" borderId="13" xfId="0" applyFont="1" applyFill="1" applyBorder="1"/>
    <xf numFmtId="0" fontId="74" fillId="36" borderId="13" xfId="0" applyFont="1" applyFill="1" applyBorder="1"/>
    <xf numFmtId="0" fontId="45" fillId="0" borderId="13" xfId="0" applyFont="1" applyBorder="1" applyAlignment="1">
      <alignment horizontal="center"/>
    </xf>
    <xf numFmtId="0" fontId="45" fillId="36" borderId="13" xfId="0" applyFont="1" applyFill="1" applyBorder="1" applyAlignment="1">
      <alignment horizontal="center"/>
    </xf>
    <xf numFmtId="0" fontId="75" fillId="36" borderId="0" xfId="0" applyFont="1" applyFill="1"/>
    <xf numFmtId="166" fontId="45" fillId="36" borderId="0" xfId="0" applyNumberFormat="1" applyFont="1" applyFill="1"/>
    <xf numFmtId="0" fontId="75" fillId="36" borderId="0" xfId="0" applyFont="1" applyFill="1" applyAlignment="1">
      <alignment horizontal="center"/>
    </xf>
    <xf numFmtId="0" fontId="1" fillId="36" borderId="7" xfId="106" applyFont="1" applyFill="1" applyBorder="1" applyAlignment="1">
      <alignment horizontal="left"/>
    </xf>
    <xf numFmtId="0" fontId="58" fillId="37" borderId="7" xfId="106" quotePrefix="1" applyFont="1" applyFill="1" applyBorder="1" applyAlignment="1">
      <alignment horizontal="center"/>
    </xf>
    <xf numFmtId="169" fontId="2" fillId="36" borderId="0" xfId="47" applyNumberFormat="1" applyFont="1" applyFill="1"/>
    <xf numFmtId="169" fontId="2" fillId="36" borderId="0" xfId="37" applyNumberFormat="1" applyFont="1" applyFill="1"/>
    <xf numFmtId="169" fontId="2" fillId="36" borderId="7" xfId="47" applyNumberFormat="1" applyFont="1" applyFill="1" applyBorder="1"/>
    <xf numFmtId="169" fontId="1" fillId="36" borderId="17" xfId="37" applyNumberFormat="1" applyFont="1" applyFill="1" applyBorder="1"/>
    <xf numFmtId="169" fontId="1" fillId="36" borderId="0" xfId="37" applyNumberFormat="1" applyFont="1" applyFill="1" applyBorder="1"/>
    <xf numFmtId="166" fontId="1" fillId="36" borderId="0" xfId="62" applyNumberFormat="1" applyFont="1" applyFill="1" applyBorder="1"/>
    <xf numFmtId="0" fontId="2" fillId="36" borderId="0" xfId="106" applyFill="1" applyAlignment="1">
      <alignment horizontal="left"/>
    </xf>
    <xf numFmtId="166" fontId="2" fillId="36" borderId="0" xfId="62" applyNumberFormat="1" applyFont="1" applyFill="1"/>
    <xf numFmtId="0" fontId="2" fillId="36" borderId="0" xfId="106" quotePrefix="1" applyFill="1"/>
    <xf numFmtId="166" fontId="1" fillId="36" borderId="12" xfId="62" applyNumberFormat="1" applyFont="1" applyFill="1" applyBorder="1"/>
    <xf numFmtId="0" fontId="71" fillId="2" borderId="14" xfId="0" applyFont="1" applyFill="1" applyBorder="1"/>
    <xf numFmtId="0" fontId="71" fillId="2" borderId="15" xfId="0" applyFont="1" applyFill="1" applyBorder="1"/>
    <xf numFmtId="0" fontId="58" fillId="36" borderId="0" xfId="0" applyFont="1" applyFill="1" applyAlignment="1">
      <alignment horizontal="left" vertical="center"/>
    </xf>
    <xf numFmtId="0" fontId="0" fillId="36" borderId="0" xfId="0" applyFill="1"/>
    <xf numFmtId="0" fontId="30" fillId="37" borderId="0" xfId="0" applyFont="1" applyFill="1" applyAlignment="1">
      <alignment horizontal="center" vertical="center"/>
    </xf>
    <xf numFmtId="0" fontId="30" fillId="37" borderId="0" xfId="0" applyFont="1" applyFill="1" applyAlignment="1">
      <alignment horizontal="center"/>
    </xf>
    <xf numFmtId="0" fontId="76" fillId="2" borderId="0" xfId="0" applyFont="1" applyFill="1" applyAlignment="1">
      <alignment horizontal="center"/>
    </xf>
    <xf numFmtId="0" fontId="77" fillId="2" borderId="0" xfId="0" applyFont="1" applyFill="1" applyAlignment="1">
      <alignment horizontal="center"/>
    </xf>
    <xf numFmtId="0" fontId="58" fillId="37" borderId="7" xfId="106" quotePrefix="1" applyFont="1" applyFill="1" applyBorder="1" applyAlignment="1">
      <alignment horizontal="right"/>
    </xf>
    <xf numFmtId="0" fontId="30" fillId="37" borderId="0" xfId="0" applyFont="1" applyFill="1" applyAlignment="1">
      <alignment vertical="center"/>
    </xf>
    <xf numFmtId="0" fontId="0" fillId="2" borderId="3" xfId="0" applyFill="1" applyBorder="1" applyAlignment="1">
      <alignment vertical="center" wrapText="1"/>
    </xf>
    <xf numFmtId="0" fontId="0" fillId="2" borderId="3" xfId="0" applyFill="1" applyBorder="1" applyAlignment="1">
      <alignment horizontal="center" vertical="center" wrapText="1"/>
    </xf>
    <xf numFmtId="0" fontId="0" fillId="2" borderId="13" xfId="0" applyFill="1" applyBorder="1" applyAlignment="1">
      <alignment vertical="center" wrapText="1"/>
    </xf>
    <xf numFmtId="0" fontId="78" fillId="0" borderId="13" xfId="0" applyFont="1" applyBorder="1" applyAlignment="1">
      <alignment horizontal="center" vertical="center" wrapText="1"/>
    </xf>
    <xf numFmtId="0" fontId="79" fillId="0" borderId="13" xfId="0" applyFont="1" applyBorder="1" applyAlignment="1">
      <alignment horizontal="center" vertical="center" wrapText="1"/>
    </xf>
    <xf numFmtId="0" fontId="0" fillId="2" borderId="13" xfId="0" applyFill="1" applyBorder="1"/>
    <xf numFmtId="0" fontId="44" fillId="2" borderId="0" xfId="0" applyFont="1" applyFill="1"/>
    <xf numFmtId="0" fontId="9" fillId="2" borderId="0" xfId="94" applyFont="1" applyFill="1"/>
    <xf numFmtId="0" fontId="9" fillId="38" borderId="52" xfId="94" applyFont="1" applyFill="1" applyBorder="1" applyAlignment="1">
      <alignment vertical="center"/>
    </xf>
    <xf numFmtId="0" fontId="80" fillId="2" borderId="0" xfId="94" applyFont="1" applyFill="1"/>
    <xf numFmtId="0" fontId="81" fillId="38" borderId="52" xfId="94" applyFont="1" applyFill="1" applyBorder="1" applyAlignment="1">
      <alignment vertical="center"/>
    </xf>
    <xf numFmtId="0" fontId="9" fillId="36" borderId="0" xfId="94" applyFont="1" applyFill="1"/>
    <xf numFmtId="0" fontId="81" fillId="39" borderId="53" xfId="94" applyFont="1" applyFill="1" applyBorder="1" applyAlignment="1">
      <alignment horizontal="center" vertical="center"/>
    </xf>
    <xf numFmtId="0" fontId="81" fillId="39" borderId="54" xfId="94" applyFont="1" applyFill="1" applyBorder="1" applyAlignment="1">
      <alignment horizontal="center" vertical="center" wrapText="1"/>
    </xf>
    <xf numFmtId="0" fontId="81" fillId="39" borderId="55" xfId="94" applyFont="1" applyFill="1" applyBorder="1" applyAlignment="1">
      <alignment horizontal="center" vertical="center" wrapText="1"/>
    </xf>
    <xf numFmtId="0" fontId="81" fillId="39" borderId="56" xfId="94" applyFont="1" applyFill="1" applyBorder="1" applyAlignment="1">
      <alignment horizontal="center" vertical="center" wrapText="1"/>
    </xf>
    <xf numFmtId="0" fontId="0" fillId="40" borderId="0" xfId="0" applyFill="1"/>
    <xf numFmtId="0" fontId="81" fillId="39" borderId="57" xfId="94" applyFont="1" applyFill="1" applyBorder="1" applyAlignment="1">
      <alignment vertical="center"/>
    </xf>
    <xf numFmtId="0" fontId="81" fillId="39" borderId="57" xfId="94" applyFont="1" applyFill="1" applyBorder="1" applyAlignment="1">
      <alignment vertical="center" wrapText="1"/>
    </xf>
    <xf numFmtId="0" fontId="58" fillId="37" borderId="58" xfId="106" quotePrefix="1" applyFont="1" applyFill="1" applyBorder="1" applyAlignment="1">
      <alignment horizontal="center"/>
    </xf>
    <xf numFmtId="0" fontId="58" fillId="37" borderId="59" xfId="106" quotePrefix="1" applyFont="1" applyFill="1" applyBorder="1" applyAlignment="1">
      <alignment horizontal="center"/>
    </xf>
    <xf numFmtId="0" fontId="9" fillId="2" borderId="4" xfId="94" applyFont="1" applyFill="1" applyBorder="1"/>
    <xf numFmtId="169" fontId="9" fillId="2" borderId="0" xfId="94" applyNumberFormat="1" applyFont="1" applyFill="1"/>
    <xf numFmtId="0" fontId="4" fillId="41" borderId="13" xfId="94" applyFont="1" applyFill="1" applyBorder="1"/>
    <xf numFmtId="169" fontId="4" fillId="41" borderId="13" xfId="67" applyNumberFormat="1" applyFont="1" applyFill="1" applyBorder="1"/>
    <xf numFmtId="0" fontId="45" fillId="0" borderId="0" xfId="0" applyFont="1" applyAlignment="1">
      <alignment vertical="justify" wrapText="1"/>
    </xf>
    <xf numFmtId="0" fontId="46" fillId="0" borderId="0" xfId="0" applyFont="1" applyAlignment="1">
      <alignment horizontal="left" vertical="top" wrapText="1"/>
    </xf>
    <xf numFmtId="0" fontId="45" fillId="0" borderId="0" xfId="0" applyFont="1" applyAlignment="1">
      <alignment horizontal="left" vertical="top" wrapText="1"/>
    </xf>
    <xf numFmtId="0" fontId="45" fillId="0" borderId="0" xfId="0" applyFont="1" applyAlignment="1">
      <alignment vertical="top" wrapText="1"/>
    </xf>
    <xf numFmtId="0" fontId="46" fillId="0" borderId="0" xfId="0" applyFont="1" applyAlignment="1">
      <alignment vertical="top" wrapText="1"/>
    </xf>
    <xf numFmtId="41" fontId="45" fillId="0" borderId="2" xfId="38" applyFont="1" applyBorder="1" applyAlignment="1">
      <alignment vertical="top" wrapText="1"/>
    </xf>
    <xf numFmtId="41" fontId="27" fillId="0" borderId="2" xfId="38" applyFont="1" applyBorder="1"/>
    <xf numFmtId="0" fontId="46" fillId="2" borderId="0" xfId="0" applyFont="1" applyFill="1" applyAlignment="1">
      <alignment vertical="justify" wrapText="1"/>
    </xf>
    <xf numFmtId="0" fontId="45" fillId="2" borderId="0" xfId="0" applyFont="1" applyFill="1" applyAlignment="1">
      <alignment vertical="justify" wrapText="1"/>
    </xf>
    <xf numFmtId="0" fontId="45" fillId="2" borderId="0" xfId="0" applyFont="1" applyFill="1" applyAlignment="1">
      <alignment horizontal="left" vertical="top" wrapText="1"/>
    </xf>
    <xf numFmtId="0" fontId="45" fillId="2" borderId="0" xfId="0" applyFont="1" applyFill="1" applyAlignment="1">
      <alignment vertical="top" wrapText="1"/>
    </xf>
    <xf numFmtId="0" fontId="46" fillId="2" borderId="0" xfId="0" applyFont="1" applyFill="1" applyAlignment="1">
      <alignment vertical="top" wrapText="1"/>
    </xf>
    <xf numFmtId="41" fontId="27" fillId="2" borderId="2" xfId="38" applyFont="1" applyFill="1" applyBorder="1"/>
    <xf numFmtId="0" fontId="46" fillId="2" borderId="0" xfId="0" applyFont="1" applyFill="1" applyAlignment="1">
      <alignment horizontal="center" vertical="center" wrapText="1"/>
    </xf>
    <xf numFmtId="0" fontId="34" fillId="0" borderId="0" xfId="34" applyAlignment="1">
      <alignment horizontal="right"/>
    </xf>
    <xf numFmtId="0" fontId="58" fillId="37" borderId="7" xfId="106" applyFont="1" applyFill="1" applyBorder="1" applyAlignment="1">
      <alignment horizontal="center"/>
    </xf>
    <xf numFmtId="0" fontId="30" fillId="37" borderId="7" xfId="0" applyFont="1" applyFill="1" applyBorder="1" applyAlignment="1">
      <alignment horizontal="center" vertical="center"/>
    </xf>
    <xf numFmtId="0" fontId="2" fillId="36" borderId="0" xfId="106" applyFill="1" applyAlignment="1">
      <alignment horizontal="center"/>
    </xf>
    <xf numFmtId="14" fontId="1" fillId="36" borderId="0" xfId="106" quotePrefix="1" applyNumberFormat="1" applyFont="1" applyFill="1" applyAlignment="1">
      <alignment horizontal="center"/>
    </xf>
    <xf numFmtId="169" fontId="2" fillId="36" borderId="0" xfId="37" applyNumberFormat="1" applyFont="1" applyFill="1" applyBorder="1"/>
    <xf numFmtId="0" fontId="73" fillId="36" borderId="0" xfId="0" applyFont="1" applyFill="1"/>
    <xf numFmtId="0" fontId="1" fillId="36" borderId="0" xfId="106" applyFont="1" applyFill="1" applyAlignment="1">
      <alignment horizontal="center"/>
    </xf>
    <xf numFmtId="169" fontId="2" fillId="36" borderId="12" xfId="37" applyNumberFormat="1" applyFont="1" applyFill="1" applyBorder="1"/>
    <xf numFmtId="0" fontId="66" fillId="37" borderId="0" xfId="0" applyFont="1" applyFill="1" applyAlignment="1">
      <alignment vertical="center"/>
    </xf>
    <xf numFmtId="0" fontId="47" fillId="0" borderId="0" xfId="0" applyFont="1" applyAlignment="1">
      <alignment vertical="center"/>
    </xf>
    <xf numFmtId="0" fontId="30" fillId="40" borderId="0" xfId="0" applyFont="1" applyFill="1"/>
    <xf numFmtId="0" fontId="30" fillId="37" borderId="0" xfId="0" applyFont="1" applyFill="1"/>
    <xf numFmtId="0" fontId="44" fillId="0" borderId="7" xfId="0" applyFont="1" applyBorder="1" applyAlignment="1">
      <alignment horizontal="center"/>
    </xf>
    <xf numFmtId="0" fontId="44" fillId="0" borderId="7" xfId="0" applyFont="1" applyBorder="1" applyAlignment="1">
      <alignment horizontal="center" vertical="center"/>
    </xf>
    <xf numFmtId="0" fontId="1" fillId="36" borderId="7" xfId="106" applyFont="1" applyFill="1" applyBorder="1" applyAlignment="1">
      <alignment horizontal="center"/>
    </xf>
    <xf numFmtId="0" fontId="82" fillId="0" borderId="0" xfId="0" applyFont="1"/>
    <xf numFmtId="0" fontId="0" fillId="0" borderId="7" xfId="0" applyBorder="1"/>
    <xf numFmtId="0" fontId="0" fillId="0" borderId="7" xfId="0" applyBorder="1" applyAlignment="1">
      <alignment horizontal="center"/>
    </xf>
    <xf numFmtId="0" fontId="58" fillId="40" borderId="0" xfId="0" applyFont="1" applyFill="1" applyAlignment="1">
      <alignment horizontal="center" vertical="center" wrapText="1"/>
    </xf>
    <xf numFmtId="0" fontId="73" fillId="2" borderId="0" xfId="0" applyFont="1" applyFill="1" applyAlignment="1">
      <alignment horizontal="left" vertical="top" wrapText="1"/>
    </xf>
    <xf numFmtId="0" fontId="44" fillId="2" borderId="0" xfId="0" applyFont="1" applyFill="1" applyAlignment="1">
      <alignment horizontal="center" vertical="center"/>
    </xf>
    <xf numFmtId="0" fontId="0" fillId="2" borderId="0" xfId="0" applyFill="1" applyAlignment="1">
      <alignment horizontal="left" vertical="center"/>
    </xf>
    <xf numFmtId="0" fontId="1" fillId="36" borderId="7" xfId="107" applyFont="1" applyFill="1" applyBorder="1" applyAlignment="1">
      <alignment horizontal="left"/>
    </xf>
    <xf numFmtId="0" fontId="2" fillId="36" borderId="0" xfId="0" applyFont="1" applyFill="1"/>
    <xf numFmtId="41" fontId="45" fillId="36" borderId="0" xfId="38" applyFont="1" applyFill="1"/>
    <xf numFmtId="0" fontId="1" fillId="36" borderId="0" xfId="107" applyFont="1" applyFill="1"/>
    <xf numFmtId="164" fontId="46" fillId="36" borderId="12" xfId="0" applyNumberFormat="1" applyFont="1" applyFill="1" applyBorder="1"/>
    <xf numFmtId="164" fontId="46" fillId="36" borderId="0" xfId="0" applyNumberFormat="1" applyFont="1" applyFill="1"/>
    <xf numFmtId="166" fontId="1" fillId="36" borderId="0" xfId="107" applyNumberFormat="1" applyFont="1" applyFill="1"/>
    <xf numFmtId="0" fontId="58" fillId="36" borderId="0" xfId="0" applyFont="1" applyFill="1" applyAlignment="1">
      <alignment vertical="center"/>
    </xf>
    <xf numFmtId="0" fontId="44" fillId="2" borderId="7" xfId="0" applyFont="1" applyFill="1" applyBorder="1"/>
    <xf numFmtId="0" fontId="58" fillId="2" borderId="0" xfId="0" applyFont="1" applyFill="1" applyAlignment="1">
      <alignment vertical="center"/>
    </xf>
    <xf numFmtId="0" fontId="44" fillId="36" borderId="0" xfId="0" applyFont="1" applyFill="1"/>
    <xf numFmtId="0" fontId="30" fillId="0" borderId="0" xfId="0" applyFont="1" applyAlignment="1">
      <alignment horizontal="center" vertical="center"/>
    </xf>
    <xf numFmtId="0" fontId="82" fillId="36" borderId="0" xfId="0" applyFont="1" applyFill="1"/>
    <xf numFmtId="0" fontId="0" fillId="36" borderId="0" xfId="0" quotePrefix="1" applyFill="1"/>
    <xf numFmtId="0" fontId="77" fillId="2" borderId="0" xfId="0" applyFont="1" applyFill="1"/>
    <xf numFmtId="0" fontId="77" fillId="0" borderId="0" xfId="0" applyFont="1"/>
    <xf numFmtId="0" fontId="9" fillId="2" borderId="0" xfId="0" applyFont="1" applyFill="1" applyAlignment="1">
      <alignment vertical="center" wrapText="1"/>
    </xf>
    <xf numFmtId="0" fontId="9" fillId="2" borderId="0" xfId="0" applyFont="1" applyFill="1" applyAlignment="1">
      <alignment horizontal="center" vertical="center" wrapText="1"/>
    </xf>
    <xf numFmtId="0" fontId="30" fillId="37" borderId="60" xfId="0" applyFont="1" applyFill="1" applyBorder="1"/>
    <xf numFmtId="0" fontId="83" fillId="37" borderId="61" xfId="0" applyFont="1" applyFill="1" applyBorder="1" applyAlignment="1">
      <alignment horizontal="center" vertical="center" wrapText="1"/>
    </xf>
    <xf numFmtId="0" fontId="83" fillId="37" borderId="61" xfId="0" applyFont="1" applyFill="1" applyBorder="1" applyAlignment="1">
      <alignment vertical="center" wrapText="1"/>
    </xf>
    <xf numFmtId="0" fontId="83" fillId="37" borderId="62" xfId="0" applyFont="1" applyFill="1" applyBorder="1" applyAlignment="1">
      <alignment horizontal="center" vertical="center" wrapText="1"/>
    </xf>
    <xf numFmtId="0" fontId="4" fillId="0" borderId="18" xfId="0" applyFont="1" applyBorder="1" applyAlignment="1">
      <alignment vertical="center" wrapText="1"/>
    </xf>
    <xf numFmtId="0" fontId="40" fillId="0" borderId="0" xfId="0" applyFont="1"/>
    <xf numFmtId="3" fontId="72" fillId="2" borderId="0" xfId="0" applyNumberFormat="1" applyFont="1" applyFill="1"/>
    <xf numFmtId="0" fontId="72" fillId="2" borderId="0" xfId="0" applyFont="1" applyFill="1"/>
    <xf numFmtId="9" fontId="72" fillId="2" borderId="0" xfId="175" applyFont="1" applyFill="1" applyBorder="1"/>
    <xf numFmtId="169" fontId="72" fillId="2" borderId="0" xfId="52" applyNumberFormat="1" applyFont="1" applyFill="1" applyBorder="1"/>
    <xf numFmtId="9" fontId="84" fillId="2" borderId="0" xfId="175" applyFont="1" applyFill="1" applyBorder="1" applyAlignment="1"/>
    <xf numFmtId="0" fontId="85" fillId="2" borderId="0" xfId="0" applyFont="1" applyFill="1"/>
    <xf numFmtId="169" fontId="72" fillId="2" borderId="0" xfId="52" applyNumberFormat="1" applyFont="1" applyFill="1" applyBorder="1" applyAlignment="1">
      <alignment horizontal="center"/>
    </xf>
    <xf numFmtId="0" fontId="85" fillId="2" borderId="0" xfId="0" applyFont="1" applyFill="1" applyAlignment="1">
      <alignment horizontal="center"/>
    </xf>
    <xf numFmtId="0" fontId="71" fillId="2" borderId="0" xfId="0" applyFont="1" applyFill="1" applyAlignment="1">
      <alignment horizontal="center"/>
    </xf>
    <xf numFmtId="41" fontId="72" fillId="2" borderId="2" xfId="38" applyFont="1" applyFill="1" applyBorder="1"/>
    <xf numFmtId="9" fontId="86" fillId="2" borderId="0" xfId="175" applyFont="1" applyFill="1" applyBorder="1" applyAlignment="1"/>
    <xf numFmtId="0" fontId="58" fillId="36" borderId="0" xfId="0" applyFont="1" applyFill="1" applyAlignment="1">
      <alignment horizontal="left"/>
    </xf>
    <xf numFmtId="0" fontId="58" fillId="37" borderId="0" xfId="0" applyFont="1" applyFill="1" applyAlignment="1">
      <alignment horizontal="left" vertical="center"/>
    </xf>
    <xf numFmtId="0" fontId="84" fillId="2" borderId="0" xfId="0" applyFont="1" applyFill="1"/>
    <xf numFmtId="0" fontId="86" fillId="2" borderId="0" xfId="0" applyFont="1" applyFill="1"/>
    <xf numFmtId="0" fontId="85" fillId="2" borderId="0" xfId="0" applyFont="1" applyFill="1" applyAlignment="1">
      <alignment vertical="center" wrapText="1"/>
    </xf>
    <xf numFmtId="0" fontId="72" fillId="2" borderId="0" xfId="0" quotePrefix="1" applyFont="1" applyFill="1"/>
    <xf numFmtId="0" fontId="87" fillId="2" borderId="0" xfId="0" applyFont="1" applyFill="1" applyAlignment="1">
      <alignment wrapText="1"/>
    </xf>
    <xf numFmtId="0" fontId="77" fillId="2" borderId="0" xfId="0" applyFont="1" applyFill="1" applyAlignment="1">
      <alignment horizontal="center" wrapText="1"/>
    </xf>
    <xf numFmtId="0" fontId="40" fillId="2" borderId="0" xfId="0" applyFont="1" applyFill="1" applyAlignment="1">
      <alignment wrapText="1"/>
    </xf>
    <xf numFmtId="3" fontId="77" fillId="2" borderId="0" xfId="0" applyNumberFormat="1" applyFont="1" applyFill="1" applyAlignment="1">
      <alignment horizontal="center"/>
    </xf>
    <xf numFmtId="0" fontId="69" fillId="2" borderId="0" xfId="0" applyFont="1" applyFill="1" applyAlignment="1">
      <alignment wrapText="1"/>
    </xf>
    <xf numFmtId="0" fontId="69" fillId="2" borderId="0" xfId="0" applyFont="1" applyFill="1" applyAlignment="1">
      <alignment horizontal="center" wrapText="1"/>
    </xf>
    <xf numFmtId="0" fontId="58" fillId="0" borderId="0" xfId="0" applyFont="1"/>
    <xf numFmtId="0" fontId="69" fillId="0" borderId="19" xfId="0" applyFont="1" applyBorder="1" applyAlignment="1">
      <alignment horizontal="center" vertical="center" wrapText="1"/>
    </xf>
    <xf numFmtId="0" fontId="69" fillId="0" borderId="20" xfId="0" applyFont="1" applyBorder="1" applyAlignment="1">
      <alignment horizontal="center" vertical="center" wrapText="1"/>
    </xf>
    <xf numFmtId="0" fontId="77" fillId="2" borderId="21" xfId="0" applyFont="1" applyFill="1" applyBorder="1"/>
    <xf numFmtId="0" fontId="77" fillId="2" borderId="0" xfId="0" applyFont="1" applyFill="1" applyAlignment="1">
      <alignment vertical="center" wrapText="1"/>
    </xf>
    <xf numFmtId="0" fontId="88" fillId="2" borderId="0" xfId="0" applyFont="1" applyFill="1"/>
    <xf numFmtId="0" fontId="89" fillId="2" borderId="0" xfId="0" applyFont="1" applyFill="1" applyAlignment="1">
      <alignment vertical="center" wrapText="1"/>
    </xf>
    <xf numFmtId="0" fontId="70" fillId="0" borderId="0" xfId="0" applyFont="1" applyAlignment="1">
      <alignment vertical="center"/>
    </xf>
    <xf numFmtId="0" fontId="89" fillId="2" borderId="0" xfId="0" applyFont="1" applyFill="1" applyAlignment="1">
      <alignment vertical="center"/>
    </xf>
    <xf numFmtId="0" fontId="89" fillId="0" borderId="13" xfId="0" applyFont="1" applyBorder="1" applyAlignment="1">
      <alignment horizontal="justify" vertical="center" wrapText="1"/>
    </xf>
    <xf numFmtId="0" fontId="89" fillId="0" borderId="13" xfId="0" applyFont="1" applyBorder="1" applyAlignment="1">
      <alignment horizontal="center" vertical="center" wrapText="1"/>
    </xf>
    <xf numFmtId="0" fontId="89" fillId="0" borderId="13" xfId="0" applyFont="1" applyBorder="1" applyAlignment="1">
      <alignment horizontal="right" vertical="center" wrapText="1"/>
    </xf>
    <xf numFmtId="0" fontId="90" fillId="37" borderId="13" xfId="0" applyFont="1" applyFill="1" applyBorder="1" applyAlignment="1">
      <alignment horizontal="justify" vertical="center" wrapText="1"/>
    </xf>
    <xf numFmtId="0" fontId="91" fillId="37" borderId="13" xfId="0" applyFont="1" applyFill="1" applyBorder="1" applyAlignment="1">
      <alignment horizontal="right" vertical="center" wrapText="1"/>
    </xf>
    <xf numFmtId="0" fontId="91" fillId="37" borderId="13" xfId="0" applyFont="1" applyFill="1" applyBorder="1" applyAlignment="1">
      <alignment horizontal="center" vertical="center" wrapText="1"/>
    </xf>
    <xf numFmtId="0" fontId="87" fillId="2" borderId="0" xfId="0" applyFont="1" applyFill="1"/>
    <xf numFmtId="0" fontId="87" fillId="0" borderId="0" xfId="0" applyFont="1"/>
    <xf numFmtId="0" fontId="34" fillId="0" borderId="0" xfId="34" applyAlignment="1">
      <alignment horizontal="center" vertical="center"/>
    </xf>
    <xf numFmtId="0" fontId="92" fillId="42" borderId="0" xfId="0" applyFont="1" applyFill="1"/>
    <xf numFmtId="0" fontId="92" fillId="38" borderId="0" xfId="0" applyFont="1" applyFill="1"/>
    <xf numFmtId="0" fontId="93" fillId="43" borderId="0" xfId="0" applyFont="1" applyFill="1"/>
    <xf numFmtId="0" fontId="94" fillId="43" borderId="0" xfId="0" applyFont="1" applyFill="1"/>
    <xf numFmtId="0" fontId="94" fillId="43" borderId="5" xfId="0" applyFont="1" applyFill="1" applyBorder="1"/>
    <xf numFmtId="0" fontId="95" fillId="43" borderId="13" xfId="0" applyFont="1" applyFill="1" applyBorder="1"/>
    <xf numFmtId="0" fontId="94" fillId="43" borderId="13" xfId="0" applyFont="1" applyFill="1" applyBorder="1"/>
    <xf numFmtId="0" fontId="13" fillId="43" borderId="0" xfId="0" applyFont="1" applyFill="1"/>
    <xf numFmtId="0" fontId="14" fillId="43" borderId="8" xfId="0" applyFont="1" applyFill="1" applyBorder="1"/>
    <xf numFmtId="0" fontId="14" fillId="43" borderId="13" xfId="0" applyFont="1" applyFill="1" applyBorder="1"/>
    <xf numFmtId="0" fontId="13" fillId="43" borderId="13" xfId="0" applyFont="1" applyFill="1" applyBorder="1"/>
    <xf numFmtId="0" fontId="96" fillId="0" borderId="0" xfId="0" applyFont="1" applyAlignment="1">
      <alignment horizontal="right"/>
    </xf>
    <xf numFmtId="0" fontId="46" fillId="0" borderId="0" xfId="0" applyFont="1" applyAlignment="1">
      <alignment horizontal="center" vertical="center"/>
    </xf>
    <xf numFmtId="0" fontId="97" fillId="0" borderId="22" xfId="0" applyFont="1" applyBorder="1" applyAlignment="1">
      <alignment vertical="center" wrapText="1"/>
    </xf>
    <xf numFmtId="0" fontId="97" fillId="0" borderId="22" xfId="0" applyFont="1" applyBorder="1" applyAlignment="1">
      <alignment horizontal="center" vertical="center" wrapText="1"/>
    </xf>
    <xf numFmtId="0" fontId="0" fillId="0" borderId="23" xfId="0" applyBorder="1" applyAlignment="1">
      <alignment vertical="top" wrapText="1"/>
    </xf>
    <xf numFmtId="0" fontId="97" fillId="0" borderId="24" xfId="0" applyFont="1" applyBorder="1" applyAlignment="1">
      <alignment horizontal="center" vertical="center" wrapText="1"/>
    </xf>
    <xf numFmtId="0" fontId="97" fillId="0" borderId="25" xfId="0" applyFont="1" applyBorder="1" applyAlignment="1">
      <alignment horizontal="center" vertical="center" wrapText="1"/>
    </xf>
    <xf numFmtId="0" fontId="98" fillId="0" borderId="22" xfId="0" applyFont="1" applyBorder="1" applyAlignment="1">
      <alignment vertical="center" wrapText="1"/>
    </xf>
    <xf numFmtId="0" fontId="98" fillId="0" borderId="22" xfId="0" applyFont="1" applyBorder="1" applyAlignment="1">
      <alignment horizontal="right" vertical="center" wrapText="1"/>
    </xf>
    <xf numFmtId="0" fontId="98" fillId="0" borderId="24" xfId="0" applyFont="1" applyBorder="1" applyAlignment="1">
      <alignment horizontal="center" vertical="center" wrapText="1"/>
    </xf>
    <xf numFmtId="0" fontId="0" fillId="0" borderId="25" xfId="0" applyBorder="1" applyAlignment="1">
      <alignment vertical="top" wrapText="1"/>
    </xf>
    <xf numFmtId="0" fontId="98" fillId="0" borderId="25" xfId="0" applyFont="1" applyBorder="1" applyAlignment="1">
      <alignment horizontal="center" vertical="center" wrapText="1"/>
    </xf>
    <xf numFmtId="0" fontId="98" fillId="0" borderId="24" xfId="0" applyFont="1" applyBorder="1" applyAlignment="1">
      <alignment horizontal="right" vertical="center" wrapText="1"/>
    </xf>
    <xf numFmtId="172" fontId="45" fillId="2" borderId="0" xfId="37" applyNumberFormat="1" applyFont="1" applyFill="1" applyAlignment="1">
      <alignment horizontal="left" vertical="top" wrapText="1"/>
    </xf>
    <xf numFmtId="172" fontId="27" fillId="2" borderId="0" xfId="37" applyNumberFormat="1" applyFont="1" applyFill="1"/>
    <xf numFmtId="0" fontId="0" fillId="2" borderId="7" xfId="0" applyFill="1" applyBorder="1"/>
    <xf numFmtId="3" fontId="45" fillId="36" borderId="0" xfId="0" applyNumberFormat="1" applyFont="1" applyFill="1"/>
    <xf numFmtId="172" fontId="9" fillId="2" borderId="11" xfId="37" applyNumberFormat="1" applyFont="1" applyFill="1" applyBorder="1"/>
    <xf numFmtId="0" fontId="4" fillId="2" borderId="4" xfId="94" applyFont="1" applyFill="1" applyBorder="1"/>
    <xf numFmtId="172" fontId="1" fillId="36" borderId="0" xfId="37" quotePrefix="1" applyNumberFormat="1" applyFont="1" applyFill="1" applyAlignment="1">
      <alignment horizontal="center"/>
    </xf>
    <xf numFmtId="172" fontId="27" fillId="0" borderId="0" xfId="37" applyNumberFormat="1" applyFont="1"/>
    <xf numFmtId="172" fontId="2" fillId="36" borderId="0" xfId="37" applyNumberFormat="1" applyFont="1" applyFill="1"/>
    <xf numFmtId="172" fontId="2" fillId="36" borderId="0" xfId="37" applyNumberFormat="1" applyFont="1" applyFill="1" applyBorder="1"/>
    <xf numFmtId="172" fontId="27" fillId="0" borderId="0" xfId="37" applyNumberFormat="1" applyFont="1" applyBorder="1"/>
    <xf numFmtId="172" fontId="2" fillId="36" borderId="12" xfId="37" applyNumberFormat="1" applyFont="1" applyFill="1" applyBorder="1"/>
    <xf numFmtId="0" fontId="53" fillId="0" borderId="0" xfId="0" applyFont="1" applyAlignment="1">
      <alignment horizontal="center"/>
    </xf>
    <xf numFmtId="172" fontId="58" fillId="0" borderId="0" xfId="37" applyNumberFormat="1" applyFont="1" applyFill="1" applyAlignment="1">
      <alignment vertical="center" wrapText="1"/>
    </xf>
    <xf numFmtId="172" fontId="27" fillId="2" borderId="2" xfId="37" applyNumberFormat="1" applyFont="1" applyFill="1" applyBorder="1"/>
    <xf numFmtId="172" fontId="45" fillId="36" borderId="0" xfId="37" applyNumberFormat="1" applyFont="1" applyFill="1"/>
    <xf numFmtId="172" fontId="46" fillId="36" borderId="12" xfId="37" applyNumberFormat="1" applyFont="1" applyFill="1" applyBorder="1"/>
    <xf numFmtId="172" fontId="1" fillId="36" borderId="12" xfId="37" applyNumberFormat="1" applyFont="1" applyFill="1" applyBorder="1"/>
    <xf numFmtId="172" fontId="27" fillId="0" borderId="7" xfId="37" applyNumberFormat="1" applyFont="1" applyBorder="1"/>
    <xf numFmtId="172" fontId="27" fillId="2" borderId="7" xfId="37" applyNumberFormat="1" applyFont="1" applyFill="1" applyBorder="1"/>
    <xf numFmtId="172" fontId="27" fillId="36" borderId="0" xfId="37" applyNumberFormat="1" applyFont="1" applyFill="1"/>
    <xf numFmtId="172" fontId="27" fillId="36" borderId="2" xfId="37" applyNumberFormat="1" applyFont="1" applyFill="1" applyBorder="1"/>
    <xf numFmtId="172" fontId="9" fillId="0" borderId="26" xfId="37" applyNumberFormat="1" applyFont="1" applyBorder="1" applyAlignment="1">
      <alignment horizontal="right" vertical="center" wrapText="1"/>
    </xf>
    <xf numFmtId="172" fontId="9" fillId="0" borderId="26" xfId="37" applyNumberFormat="1" applyFont="1" applyBorder="1" applyAlignment="1">
      <alignment horizontal="center" vertical="center" wrapText="1"/>
    </xf>
    <xf numFmtId="172" fontId="9" fillId="0" borderId="27" xfId="37" applyNumberFormat="1" applyFont="1" applyBorder="1" applyAlignment="1">
      <alignment horizontal="right" vertical="center" wrapText="1"/>
    </xf>
    <xf numFmtId="172" fontId="9" fillId="0" borderId="27" xfId="37" applyNumberFormat="1" applyFont="1" applyBorder="1" applyAlignment="1">
      <alignment horizontal="center" vertical="center" wrapText="1"/>
    </xf>
    <xf numFmtId="172" fontId="9" fillId="0" borderId="28" xfId="37" applyNumberFormat="1" applyFont="1" applyBorder="1" applyAlignment="1">
      <alignment horizontal="right" vertical="center" wrapText="1"/>
    </xf>
    <xf numFmtId="172" fontId="9" fillId="0" borderId="28" xfId="37" applyNumberFormat="1" applyFont="1" applyBorder="1" applyAlignment="1">
      <alignment horizontal="center" vertical="center" wrapText="1"/>
    </xf>
    <xf numFmtId="172" fontId="72" fillId="2" borderId="0" xfId="37" applyNumberFormat="1" applyFont="1" applyFill="1" applyBorder="1"/>
    <xf numFmtId="172" fontId="94" fillId="43" borderId="13" xfId="37" applyNumberFormat="1" applyFont="1" applyFill="1" applyBorder="1"/>
    <xf numFmtId="172" fontId="99" fillId="43" borderId="13" xfId="37" applyNumberFormat="1" applyFont="1" applyFill="1" applyBorder="1"/>
    <xf numFmtId="172" fontId="94" fillId="43" borderId="13" xfId="37" applyNumberFormat="1" applyFont="1" applyFill="1" applyBorder="1" applyAlignment="1">
      <alignment horizontal="center"/>
    </xf>
    <xf numFmtId="172" fontId="9" fillId="2" borderId="5" xfId="37" applyNumberFormat="1" applyFont="1" applyFill="1" applyBorder="1"/>
    <xf numFmtId="172" fontId="4" fillId="2" borderId="5" xfId="37" applyNumberFormat="1" applyFont="1" applyFill="1" applyBorder="1"/>
    <xf numFmtId="172" fontId="27" fillId="0" borderId="0" xfId="37" applyNumberFormat="1" applyFont="1" applyFill="1"/>
    <xf numFmtId="172" fontId="47" fillId="0" borderId="0" xfId="37" applyNumberFormat="1" applyFont="1" applyFill="1"/>
    <xf numFmtId="172" fontId="62" fillId="0" borderId="0" xfId="37" applyNumberFormat="1" applyFont="1" applyFill="1"/>
    <xf numFmtId="172" fontId="5" fillId="0" borderId="0" xfId="37" applyNumberFormat="1" applyFont="1" applyFill="1"/>
    <xf numFmtId="172" fontId="66" fillId="37" borderId="0" xfId="37" applyNumberFormat="1" applyFont="1" applyFill="1" applyBorder="1"/>
    <xf numFmtId="41" fontId="0" fillId="0" borderId="0" xfId="0" applyNumberFormat="1"/>
    <xf numFmtId="3" fontId="45" fillId="0" borderId="0" xfId="0" applyNumberFormat="1" applyFont="1"/>
    <xf numFmtId="172" fontId="85" fillId="2" borderId="2" xfId="37" applyNumberFormat="1" applyFont="1" applyFill="1" applyBorder="1" applyAlignment="1">
      <alignment horizontal="center"/>
    </xf>
    <xf numFmtId="41" fontId="85" fillId="2" borderId="2" xfId="38" applyFont="1" applyFill="1" applyBorder="1" applyAlignment="1">
      <alignment horizontal="center"/>
    </xf>
    <xf numFmtId="0" fontId="12" fillId="43" borderId="0" xfId="0" applyFont="1" applyFill="1" applyAlignment="1">
      <alignment wrapText="1"/>
    </xf>
    <xf numFmtId="0" fontId="95" fillId="43" borderId="0" xfId="0" applyFont="1" applyFill="1"/>
    <xf numFmtId="172" fontId="77" fillId="2" borderId="0" xfId="0" applyNumberFormat="1" applyFont="1" applyFill="1"/>
    <xf numFmtId="172" fontId="72" fillId="0" borderId="0" xfId="37" applyNumberFormat="1" applyFont="1" applyFill="1" applyBorder="1"/>
    <xf numFmtId="3" fontId="57" fillId="36" borderId="0" xfId="0" applyNumberFormat="1" applyFont="1" applyFill="1"/>
    <xf numFmtId="41" fontId="27" fillId="2" borderId="0" xfId="38" applyFont="1" applyFill="1"/>
    <xf numFmtId="172" fontId="46" fillId="36" borderId="13" xfId="37" applyNumberFormat="1" applyFont="1" applyFill="1" applyBorder="1"/>
    <xf numFmtId="172" fontId="4" fillId="2" borderId="3" xfId="37" applyNumberFormat="1" applyFont="1" applyFill="1" applyBorder="1"/>
    <xf numFmtId="172" fontId="9" fillId="2" borderId="5" xfId="37" applyNumberFormat="1" applyFont="1" applyFill="1" applyBorder="1" applyAlignment="1">
      <alignment horizontal="right"/>
    </xf>
    <xf numFmtId="166" fontId="47" fillId="0" borderId="0" xfId="0" applyNumberFormat="1" applyFont="1"/>
    <xf numFmtId="41" fontId="45" fillId="0" borderId="0" xfId="38" applyFont="1"/>
    <xf numFmtId="41" fontId="45" fillId="0" borderId="0" xfId="0" applyNumberFormat="1" applyFont="1"/>
    <xf numFmtId="0" fontId="2" fillId="0" borderId="0" xfId="0" applyFont="1"/>
    <xf numFmtId="0" fontId="45" fillId="0" borderId="11" xfId="0" applyFont="1" applyBorder="1"/>
    <xf numFmtId="0" fontId="53" fillId="0" borderId="4" xfId="0" applyFont="1" applyBorder="1" applyAlignment="1">
      <alignment horizontal="justify" vertical="justify" wrapText="1"/>
    </xf>
    <xf numFmtId="0" fontId="53" fillId="0" borderId="0" xfId="0" applyFont="1" applyAlignment="1">
      <alignment horizontal="justify" vertical="justify" wrapText="1"/>
    </xf>
    <xf numFmtId="0" fontId="53" fillId="0" borderId="11" xfId="0" applyFont="1" applyBorder="1" applyAlignment="1">
      <alignment horizontal="justify" vertical="justify" wrapText="1"/>
    </xf>
    <xf numFmtId="0" fontId="69" fillId="0" borderId="7" xfId="0" applyFont="1" applyBorder="1" applyAlignment="1">
      <alignment horizontal="center" wrapText="1"/>
    </xf>
    <xf numFmtId="177" fontId="27" fillId="2" borderId="0" xfId="38" applyNumberFormat="1" applyFont="1" applyFill="1" applyBorder="1" applyAlignment="1">
      <alignment horizontal="center"/>
    </xf>
    <xf numFmtId="177" fontId="44" fillId="2" borderId="0" xfId="38" applyNumberFormat="1" applyFont="1" applyFill="1" applyBorder="1" applyAlignment="1">
      <alignment horizontal="center"/>
    </xf>
    <xf numFmtId="0" fontId="0" fillId="0" borderId="0" xfId="0" applyAlignment="1">
      <alignment vertical="justify" wrapText="1"/>
    </xf>
    <xf numFmtId="0" fontId="100" fillId="0" borderId="24" xfId="0" applyFont="1" applyBorder="1" applyAlignment="1">
      <alignment horizontal="center" vertical="center" wrapText="1"/>
    </xf>
    <xf numFmtId="0" fontId="100" fillId="0" borderId="24" xfId="0" applyFont="1" applyBorder="1" applyAlignment="1">
      <alignment horizontal="justify" vertical="center" wrapText="1"/>
    </xf>
    <xf numFmtId="0" fontId="100" fillId="0" borderId="25" xfId="0" applyFont="1" applyBorder="1" applyAlignment="1">
      <alignment horizontal="center" vertical="center" wrapText="1"/>
    </xf>
    <xf numFmtId="0" fontId="100" fillId="0" borderId="20" xfId="0" applyFont="1" applyBorder="1" applyAlignment="1">
      <alignment horizontal="center" vertical="center" wrapText="1"/>
    </xf>
    <xf numFmtId="0" fontId="101" fillId="0" borderId="29" xfId="0" applyFont="1" applyBorder="1" applyAlignment="1">
      <alignment horizontal="left" vertical="center" wrapText="1"/>
    </xf>
    <xf numFmtId="4" fontId="102" fillId="0" borderId="21" xfId="0" applyNumberFormat="1" applyFont="1" applyBorder="1" applyAlignment="1">
      <alignment horizontal="center" vertical="center" wrapText="1"/>
    </xf>
    <xf numFmtId="4" fontId="102" fillId="0" borderId="19" xfId="0" applyNumberFormat="1" applyFont="1" applyBorder="1" applyAlignment="1">
      <alignment horizontal="center" vertical="center" wrapText="1"/>
    </xf>
    <xf numFmtId="0" fontId="59" fillId="0" borderId="4" xfId="0" applyFont="1" applyBorder="1" applyAlignment="1">
      <alignment horizontal="left" vertical="justify" wrapText="1"/>
    </xf>
    <xf numFmtId="0" fontId="59" fillId="0" borderId="0" xfId="0" applyFont="1" applyAlignment="1">
      <alignment horizontal="left" vertical="justify" wrapText="1"/>
    </xf>
    <xf numFmtId="0" fontId="59" fillId="0" borderId="11" xfId="0" applyFont="1" applyBorder="1" applyAlignment="1">
      <alignment horizontal="left" vertical="justify" wrapText="1"/>
    </xf>
    <xf numFmtId="0" fontId="59" fillId="0" borderId="0" xfId="0" applyFont="1" applyAlignment="1">
      <alignment vertical="center"/>
    </xf>
    <xf numFmtId="0" fontId="65" fillId="0" borderId="0" xfId="0" applyFont="1"/>
    <xf numFmtId="0" fontId="45" fillId="0" borderId="0" xfId="0" applyFont="1" applyAlignment="1">
      <alignment horizontal="left" vertical="justify" wrapText="1"/>
    </xf>
    <xf numFmtId="0" fontId="53" fillId="0" borderId="0" xfId="0" applyFont="1" applyAlignment="1">
      <alignment horizontal="left" vertical="justify" wrapText="1"/>
    </xf>
    <xf numFmtId="0" fontId="2" fillId="0" borderId="0" xfId="0" applyFont="1" applyAlignment="1">
      <alignment horizontal="left" vertical="justify" wrapText="1"/>
    </xf>
    <xf numFmtId="0" fontId="71" fillId="2" borderId="0" xfId="0" applyFont="1" applyFill="1"/>
    <xf numFmtId="0" fontId="45" fillId="0" borderId="4" xfId="0" applyFont="1" applyBorder="1" applyAlignment="1">
      <alignment horizontal="justify" vertical="justify" wrapText="1"/>
    </xf>
    <xf numFmtId="0" fontId="45" fillId="0" borderId="0" xfId="0" applyFont="1" applyAlignment="1">
      <alignment horizontal="justify" vertical="justify" wrapText="1"/>
    </xf>
    <xf numFmtId="0" fontId="45" fillId="0" borderId="11" xfId="0" applyFont="1" applyBorder="1" applyAlignment="1">
      <alignment horizontal="justify" vertical="justify" wrapText="1"/>
    </xf>
    <xf numFmtId="0" fontId="53" fillId="0" borderId="1" xfId="0" applyFont="1" applyBorder="1" applyAlignment="1">
      <alignment horizontal="justify" vertical="justify" wrapText="1"/>
    </xf>
    <xf numFmtId="0" fontId="53" fillId="0" borderId="2" xfId="0" applyFont="1" applyBorder="1" applyAlignment="1">
      <alignment horizontal="justify" vertical="justify" wrapText="1"/>
    </xf>
    <xf numFmtId="0" fontId="53" fillId="0" borderId="10" xfId="0" applyFont="1" applyBorder="1" applyAlignment="1">
      <alignment horizontal="justify" vertical="justify" wrapText="1"/>
    </xf>
    <xf numFmtId="165" fontId="53" fillId="0" borderId="0" xfId="0" applyNumberFormat="1" applyFont="1" applyAlignment="1">
      <alignment horizontal="justify" vertical="justify" wrapText="1"/>
    </xf>
    <xf numFmtId="0" fontId="53" fillId="0" borderId="6" xfId="0" applyFont="1" applyBorder="1" applyAlignment="1">
      <alignment horizontal="justify" vertical="justify" wrapText="1"/>
    </xf>
    <xf numFmtId="0" fontId="101" fillId="0" borderId="7" xfId="0" applyFont="1" applyBorder="1" applyAlignment="1">
      <alignment horizontal="justify" vertical="center" wrapText="1"/>
    </xf>
    <xf numFmtId="4" fontId="101" fillId="0" borderId="7" xfId="0" applyNumberFormat="1" applyFont="1" applyBorder="1" applyAlignment="1">
      <alignment horizontal="center" vertical="center" wrapText="1"/>
    </xf>
    <xf numFmtId="4" fontId="102" fillId="0" borderId="7" xfId="0" applyNumberFormat="1" applyFont="1" applyBorder="1" applyAlignment="1">
      <alignment horizontal="center" vertical="center" wrapText="1"/>
    </xf>
    <xf numFmtId="0" fontId="53" fillId="0" borderId="7" xfId="0" applyFont="1" applyBorder="1" applyAlignment="1">
      <alignment horizontal="justify" vertical="justify" wrapText="1"/>
    </xf>
    <xf numFmtId="0" fontId="53" fillId="0" borderId="16" xfId="0" applyFont="1" applyBorder="1" applyAlignment="1">
      <alignment horizontal="justify" vertical="justify" wrapText="1"/>
    </xf>
    <xf numFmtId="166" fontId="20" fillId="0" borderId="0" xfId="37" applyNumberFormat="1" applyFont="1"/>
    <xf numFmtId="166" fontId="20" fillId="0" borderId="0" xfId="37" applyNumberFormat="1" applyFont="1" applyBorder="1"/>
    <xf numFmtId="0" fontId="20" fillId="0" borderId="0" xfId="0" applyFont="1"/>
    <xf numFmtId="166" fontId="62" fillId="0" borderId="0" xfId="37" applyNumberFormat="1" applyFont="1"/>
    <xf numFmtId="166" fontId="62" fillId="0" borderId="0" xfId="37" applyNumberFormat="1" applyFont="1" applyBorder="1"/>
    <xf numFmtId="166" fontId="61" fillId="0" borderId="0" xfId="37" applyNumberFormat="1" applyFont="1"/>
    <xf numFmtId="0" fontId="62" fillId="0" borderId="0" xfId="0" applyFont="1" applyAlignment="1">
      <alignment wrapText="1"/>
    </xf>
    <xf numFmtId="169" fontId="20" fillId="0" borderId="0" xfId="37" applyNumberFormat="1" applyFont="1"/>
    <xf numFmtId="166" fontId="103" fillId="0" borderId="0" xfId="37" applyNumberFormat="1" applyFont="1"/>
    <xf numFmtId="166" fontId="5" fillId="0" borderId="12" xfId="37" applyNumberFormat="1" applyFont="1" applyBorder="1"/>
    <xf numFmtId="166" fontId="5" fillId="0" borderId="0" xfId="37" applyNumberFormat="1" applyFont="1" applyBorder="1"/>
    <xf numFmtId="166" fontId="103" fillId="0" borderId="0" xfId="0" applyNumberFormat="1" applyFont="1"/>
    <xf numFmtId="166" fontId="62" fillId="0" borderId="0" xfId="0" applyNumberFormat="1" applyFont="1"/>
    <xf numFmtId="0" fontId="20" fillId="0" borderId="0" xfId="109" applyFont="1"/>
    <xf numFmtId="166" fontId="5" fillId="0" borderId="0" xfId="37" applyNumberFormat="1" applyFont="1"/>
    <xf numFmtId="166" fontId="61" fillId="0" borderId="0" xfId="0" applyNumberFormat="1" applyFont="1"/>
    <xf numFmtId="166" fontId="103" fillId="0" borderId="0" xfId="37" applyNumberFormat="1" applyFont="1" applyBorder="1"/>
    <xf numFmtId="0" fontId="104" fillId="0" borderId="0" xfId="0" applyFont="1" applyAlignment="1">
      <alignment horizontal="left"/>
    </xf>
    <xf numFmtId="166" fontId="105" fillId="0" borderId="0" xfId="37" applyNumberFormat="1" applyFont="1"/>
    <xf numFmtId="0" fontId="105" fillId="0" borderId="0" xfId="0" applyFont="1"/>
    <xf numFmtId="0" fontId="104" fillId="0" borderId="0" xfId="0" applyFont="1"/>
    <xf numFmtId="166" fontId="104" fillId="0" borderId="0" xfId="37" applyNumberFormat="1" applyFont="1" applyAlignment="1">
      <alignment horizontal="center"/>
    </xf>
    <xf numFmtId="166" fontId="104" fillId="0" borderId="0" xfId="37" applyNumberFormat="1" applyFont="1" applyBorder="1" applyAlignment="1">
      <alignment horizontal="center"/>
    </xf>
    <xf numFmtId="0" fontId="5" fillId="44" borderId="0" xfId="0" applyFont="1" applyFill="1" applyAlignment="1">
      <alignment vertical="center"/>
    </xf>
    <xf numFmtId="166" fontId="5" fillId="44" borderId="0" xfId="37" applyNumberFormat="1" applyFont="1" applyFill="1" applyBorder="1"/>
    <xf numFmtId="166" fontId="106" fillId="44" borderId="0" xfId="37" applyNumberFormat="1" applyFont="1" applyFill="1" applyBorder="1"/>
    <xf numFmtId="166" fontId="5" fillId="44" borderId="0" xfId="37" applyNumberFormat="1" applyFont="1" applyFill="1" applyBorder="1" applyAlignment="1">
      <alignment vertical="center"/>
    </xf>
    <xf numFmtId="172" fontId="4" fillId="36" borderId="30" xfId="37" applyNumberFormat="1" applyFont="1" applyFill="1" applyBorder="1" applyAlignment="1">
      <alignment horizontal="center" vertical="center" wrapText="1"/>
    </xf>
    <xf numFmtId="172" fontId="4" fillId="0" borderId="30" xfId="37" applyNumberFormat="1" applyFont="1" applyBorder="1" applyAlignment="1">
      <alignment horizontal="center" vertical="center" wrapText="1"/>
    </xf>
    <xf numFmtId="172" fontId="45" fillId="36" borderId="0" xfId="0" applyNumberFormat="1" applyFont="1" applyFill="1"/>
    <xf numFmtId="41" fontId="27" fillId="2" borderId="0" xfId="38" applyFont="1" applyFill="1" applyBorder="1"/>
    <xf numFmtId="43" fontId="27" fillId="2" borderId="0" xfId="37" applyFont="1" applyFill="1" applyBorder="1"/>
    <xf numFmtId="0" fontId="9" fillId="0" borderId="31" xfId="0" applyFont="1" applyBorder="1" applyAlignment="1">
      <alignment vertical="center" wrapText="1"/>
    </xf>
    <xf numFmtId="0" fontId="9" fillId="0" borderId="32" xfId="0" applyFont="1" applyBorder="1" applyAlignment="1">
      <alignment vertical="center" wrapText="1"/>
    </xf>
    <xf numFmtId="0" fontId="9" fillId="0" borderId="33" xfId="0" applyFont="1" applyBorder="1" applyAlignment="1">
      <alignment vertical="center" wrapText="1"/>
    </xf>
    <xf numFmtId="41" fontId="98" fillId="0" borderId="24" xfId="38" applyFont="1" applyBorder="1" applyAlignment="1">
      <alignment horizontal="right" vertical="center" wrapText="1"/>
    </xf>
    <xf numFmtId="169" fontId="0" fillId="2" borderId="0" xfId="0" applyNumberFormat="1" applyFill="1"/>
    <xf numFmtId="41" fontId="9" fillId="2" borderId="0" xfId="38" applyFont="1" applyFill="1"/>
    <xf numFmtId="164" fontId="0" fillId="2" borderId="0" xfId="0" applyNumberFormat="1" applyFill="1"/>
    <xf numFmtId="164" fontId="107" fillId="0" borderId="0" xfId="39" applyFont="1" applyFill="1"/>
    <xf numFmtId="14" fontId="0" fillId="0" borderId="0" xfId="0" applyNumberFormat="1"/>
    <xf numFmtId="41" fontId="27" fillId="0" borderId="0" xfId="38" applyFont="1"/>
    <xf numFmtId="41" fontId="27" fillId="0" borderId="7" xfId="38" applyFont="1" applyBorder="1"/>
    <xf numFmtId="41" fontId="27" fillId="36" borderId="0" xfId="38" applyFont="1" applyFill="1"/>
    <xf numFmtId="41" fontId="27" fillId="36" borderId="2" xfId="38" applyFont="1" applyFill="1" applyBorder="1"/>
    <xf numFmtId="41" fontId="0" fillId="36" borderId="0" xfId="0" applyNumberFormat="1" applyFill="1"/>
    <xf numFmtId="41" fontId="72" fillId="2" borderId="0" xfId="38" applyFont="1" applyFill="1"/>
    <xf numFmtId="41" fontId="0" fillId="2" borderId="0" xfId="0" applyNumberFormat="1" applyFill="1"/>
    <xf numFmtId="172" fontId="40" fillId="2" borderId="0" xfId="0" applyNumberFormat="1" applyFont="1" applyFill="1"/>
    <xf numFmtId="164" fontId="0" fillId="0" borderId="0" xfId="0" applyNumberFormat="1"/>
    <xf numFmtId="3" fontId="22" fillId="0" borderId="0" xfId="0" applyNumberFormat="1" applyFont="1"/>
    <xf numFmtId="3" fontId="23" fillId="0" borderId="0" xfId="0" applyNumberFormat="1" applyFont="1"/>
    <xf numFmtId="3" fontId="22" fillId="0" borderId="0" xfId="0" applyNumberFormat="1" applyFont="1" applyAlignment="1">
      <alignment horizontal="center"/>
    </xf>
    <xf numFmtId="3" fontId="24" fillId="0" borderId="0" xfId="0" applyNumberFormat="1" applyFont="1" applyAlignment="1">
      <alignment horizontal="center"/>
    </xf>
    <xf numFmtId="3" fontId="23" fillId="0" borderId="0" xfId="0" applyNumberFormat="1" applyFont="1" applyAlignment="1">
      <alignment horizontal="left"/>
    </xf>
    <xf numFmtId="3" fontId="22" fillId="0" borderId="0" xfId="0" applyNumberFormat="1" applyFont="1" applyAlignment="1">
      <alignment horizontal="left"/>
    </xf>
    <xf numFmtId="3" fontId="22" fillId="3" borderId="0" xfId="0" applyNumberFormat="1" applyFont="1" applyFill="1"/>
    <xf numFmtId="3" fontId="23" fillId="0" borderId="0" xfId="0" quotePrefix="1" applyNumberFormat="1" applyFont="1"/>
    <xf numFmtId="3" fontId="0" fillId="0" borderId="0" xfId="0" quotePrefix="1" applyNumberFormat="1"/>
    <xf numFmtId="0" fontId="0" fillId="0" borderId="0" xfId="0" quotePrefix="1"/>
    <xf numFmtId="3" fontId="2" fillId="0" borderId="0" xfId="0" applyNumberFormat="1" applyFont="1"/>
    <xf numFmtId="3" fontId="1" fillId="3" borderId="0" xfId="0" applyNumberFormat="1" applyFont="1" applyFill="1"/>
    <xf numFmtId="3" fontId="0" fillId="0" borderId="0" xfId="0" applyNumberFormat="1"/>
    <xf numFmtId="3" fontId="23" fillId="0" borderId="0" xfId="0" quotePrefix="1" applyNumberFormat="1" applyFont="1" applyAlignment="1">
      <alignment horizontal="center"/>
    </xf>
    <xf numFmtId="0" fontId="0" fillId="4" borderId="0" xfId="0" applyFill="1"/>
    <xf numFmtId="3" fontId="22" fillId="45" borderId="0" xfId="0" applyNumberFormat="1" applyFont="1" applyFill="1"/>
    <xf numFmtId="166" fontId="108" fillId="0" borderId="0" xfId="37" applyNumberFormat="1" applyFont="1"/>
    <xf numFmtId="3" fontId="23" fillId="45" borderId="0" xfId="0" applyNumberFormat="1" applyFont="1" applyFill="1"/>
    <xf numFmtId="3" fontId="22" fillId="46" borderId="0" xfId="0" applyNumberFormat="1" applyFont="1" applyFill="1"/>
    <xf numFmtId="3" fontId="59" fillId="46" borderId="0" xfId="0" applyNumberFormat="1" applyFont="1" applyFill="1"/>
    <xf numFmtId="3" fontId="1" fillId="46" borderId="0" xfId="0" applyNumberFormat="1" applyFont="1" applyFill="1"/>
    <xf numFmtId="3" fontId="109" fillId="46" borderId="0" xfId="0" applyNumberFormat="1" applyFont="1" applyFill="1"/>
    <xf numFmtId="3" fontId="110" fillId="46" borderId="0" xfId="0" applyNumberFormat="1" applyFont="1" applyFill="1"/>
    <xf numFmtId="3" fontId="23" fillId="46" borderId="0" xfId="0" applyNumberFormat="1" applyFont="1" applyFill="1"/>
    <xf numFmtId="3" fontId="2" fillId="0" borderId="0" xfId="38" applyNumberFormat="1" applyFont="1" applyFill="1" applyAlignment="1">
      <alignment horizontal="center"/>
    </xf>
    <xf numFmtId="3" fontId="2" fillId="0" borderId="0" xfId="37" applyNumberFormat="1" applyFont="1" applyFill="1" applyAlignment="1">
      <alignment horizontal="center"/>
    </xf>
    <xf numFmtId="166" fontId="45" fillId="47" borderId="0" xfId="37" applyNumberFormat="1" applyFont="1" applyFill="1"/>
    <xf numFmtId="166" fontId="2" fillId="47" borderId="0" xfId="37" applyNumberFormat="1" applyFont="1" applyFill="1"/>
    <xf numFmtId="3" fontId="23" fillId="48" borderId="0" xfId="0" applyNumberFormat="1" applyFont="1" applyFill="1"/>
    <xf numFmtId="3" fontId="110" fillId="48" borderId="0" xfId="0" applyNumberFormat="1" applyFont="1" applyFill="1"/>
    <xf numFmtId="49" fontId="111" fillId="0" borderId="0" xfId="0" applyNumberFormat="1" applyFont="1"/>
    <xf numFmtId="164" fontId="111" fillId="0" borderId="0" xfId="39" applyFont="1"/>
    <xf numFmtId="164" fontId="27" fillId="0" borderId="0" xfId="39" applyFont="1"/>
    <xf numFmtId="0" fontId="111" fillId="0" borderId="0" xfId="0" applyFont="1"/>
    <xf numFmtId="49" fontId="0" fillId="0" borderId="0" xfId="0" applyNumberFormat="1"/>
    <xf numFmtId="164" fontId="111" fillId="49" borderId="0" xfId="39" applyFont="1" applyFill="1"/>
    <xf numFmtId="164" fontId="60" fillId="0" borderId="0" xfId="38" applyNumberFormat="1" applyFont="1" applyFill="1"/>
    <xf numFmtId="41" fontId="45" fillId="50" borderId="0" xfId="38" applyFont="1" applyFill="1"/>
    <xf numFmtId="166" fontId="45" fillId="50" borderId="0" xfId="37" applyNumberFormat="1" applyFont="1" applyFill="1"/>
    <xf numFmtId="41" fontId="72" fillId="0" borderId="2" xfId="38" applyFont="1" applyFill="1" applyBorder="1"/>
    <xf numFmtId="177" fontId="27" fillId="0" borderId="0" xfId="38" applyNumberFormat="1" applyFont="1" applyFill="1" applyBorder="1" applyAlignment="1">
      <alignment horizontal="center"/>
    </xf>
    <xf numFmtId="172" fontId="27" fillId="0" borderId="0" xfId="37" applyNumberFormat="1" applyFont="1" applyFill="1" applyBorder="1"/>
    <xf numFmtId="0" fontId="40" fillId="0" borderId="7" xfId="0" applyFont="1" applyBorder="1"/>
    <xf numFmtId="172" fontId="45" fillId="0" borderId="8" xfId="37" applyNumberFormat="1" applyFont="1" applyFill="1" applyBorder="1"/>
    <xf numFmtId="164" fontId="45" fillId="0" borderId="0" xfId="39" applyFont="1" applyFill="1"/>
    <xf numFmtId="14" fontId="111" fillId="0" borderId="0" xfId="39" applyNumberFormat="1" applyFont="1"/>
    <xf numFmtId="41" fontId="2" fillId="36" borderId="7" xfId="38" applyFont="1" applyFill="1" applyBorder="1"/>
    <xf numFmtId="41" fontId="2" fillId="36" borderId="0" xfId="38" quotePrefix="1" applyFont="1" applyFill="1" applyAlignment="1">
      <alignment horizontal="center"/>
    </xf>
    <xf numFmtId="172" fontId="9" fillId="51" borderId="11" xfId="37" applyNumberFormat="1" applyFont="1" applyFill="1" applyBorder="1"/>
    <xf numFmtId="172" fontId="9" fillId="51" borderId="5" xfId="37" applyNumberFormat="1" applyFont="1" applyFill="1" applyBorder="1"/>
    <xf numFmtId="172" fontId="9" fillId="51" borderId="5" xfId="37" quotePrefix="1" applyNumberFormat="1" applyFont="1" applyFill="1" applyBorder="1"/>
    <xf numFmtId="172" fontId="4" fillId="51" borderId="5" xfId="37" applyNumberFormat="1" applyFont="1" applyFill="1" applyBorder="1"/>
    <xf numFmtId="172" fontId="0" fillId="2" borderId="0" xfId="0" applyNumberFormat="1" applyFill="1"/>
    <xf numFmtId="0" fontId="77" fillId="2" borderId="34" xfId="0" applyFont="1" applyFill="1" applyBorder="1" applyAlignment="1">
      <alignment horizontal="center" vertical="center" wrapText="1"/>
    </xf>
    <xf numFmtId="0" fontId="77" fillId="2" borderId="35" xfId="0" applyFont="1" applyFill="1" applyBorder="1" applyAlignment="1">
      <alignment horizontal="center" vertical="center" wrapText="1"/>
    </xf>
    <xf numFmtId="41" fontId="77" fillId="2" borderId="35" xfId="38" applyFont="1" applyFill="1" applyBorder="1" applyAlignment="1">
      <alignment horizontal="center" vertical="center" wrapText="1"/>
    </xf>
    <xf numFmtId="0" fontId="77" fillId="2" borderId="36" xfId="0" applyFont="1" applyFill="1" applyBorder="1" applyAlignment="1">
      <alignment horizontal="center" vertical="center" wrapText="1"/>
    </xf>
    <xf numFmtId="41" fontId="45" fillId="46" borderId="0" xfId="38" applyFont="1" applyFill="1"/>
    <xf numFmtId="164" fontId="111" fillId="46" borderId="0" xfId="39" applyFont="1" applyFill="1"/>
    <xf numFmtId="166" fontId="45" fillId="46" borderId="0" xfId="37" applyNumberFormat="1" applyFont="1" applyFill="1"/>
    <xf numFmtId="3" fontId="23" fillId="52" borderId="0" xfId="0" applyNumberFormat="1" applyFont="1" applyFill="1"/>
    <xf numFmtId="3" fontId="2" fillId="52" borderId="0" xfId="0" applyNumberFormat="1" applyFont="1" applyFill="1"/>
    <xf numFmtId="164" fontId="27" fillId="53" borderId="0" xfId="39" applyFont="1" applyFill="1"/>
    <xf numFmtId="41" fontId="111" fillId="0" borderId="0" xfId="38" applyFont="1"/>
    <xf numFmtId="41" fontId="111" fillId="53" borderId="0" xfId="38" applyFont="1" applyFill="1"/>
    <xf numFmtId="41" fontId="45" fillId="54" borderId="0" xfId="38" applyFont="1" applyFill="1"/>
    <xf numFmtId="3" fontId="23" fillId="54" borderId="0" xfId="0" applyNumberFormat="1" applyFont="1" applyFill="1"/>
    <xf numFmtId="41" fontId="45" fillId="55" borderId="0" xfId="38" applyFont="1" applyFill="1"/>
    <xf numFmtId="166" fontId="45" fillId="55" borderId="0" xfId="37" applyNumberFormat="1" applyFont="1" applyFill="1"/>
    <xf numFmtId="3" fontId="23" fillId="55" borderId="0" xfId="0" applyNumberFormat="1" applyFont="1" applyFill="1"/>
    <xf numFmtId="166" fontId="20" fillId="0" borderId="0" xfId="0" applyNumberFormat="1" applyFont="1"/>
    <xf numFmtId="166" fontId="106" fillId="0" borderId="0" xfId="37" applyNumberFormat="1" applyFont="1" applyFill="1" applyBorder="1"/>
    <xf numFmtId="166" fontId="62" fillId="0" borderId="0" xfId="37" applyNumberFormat="1" applyFont="1" applyFill="1"/>
    <xf numFmtId="166" fontId="62" fillId="0" borderId="0" xfId="37" applyNumberFormat="1" applyFont="1" applyFill="1" applyBorder="1"/>
    <xf numFmtId="166" fontId="61" fillId="0" borderId="0" xfId="37" applyNumberFormat="1" applyFont="1" applyFill="1"/>
    <xf numFmtId="0" fontId="20" fillId="0" borderId="0" xfId="0" applyFont="1" applyAlignment="1">
      <alignment vertical="center"/>
    </xf>
    <xf numFmtId="166" fontId="5" fillId="0" borderId="0" xfId="37" applyNumberFormat="1" applyFont="1" applyFill="1" applyBorder="1"/>
    <xf numFmtId="166" fontId="52" fillId="0" borderId="0" xfId="0" applyNumberFormat="1" applyFont="1"/>
    <xf numFmtId="169" fontId="111" fillId="0" borderId="0" xfId="47" applyNumberFormat="1" applyFont="1"/>
    <xf numFmtId="0" fontId="0" fillId="56" borderId="0" xfId="0" applyFill="1"/>
    <xf numFmtId="0" fontId="0" fillId="53" borderId="0" xfId="0" applyFill="1"/>
    <xf numFmtId="49" fontId="111" fillId="53" borderId="0" xfId="0" applyNumberFormat="1" applyFont="1" applyFill="1"/>
    <xf numFmtId="49" fontId="112" fillId="0" borderId="0" xfId="0" applyNumberFormat="1" applyFont="1"/>
    <xf numFmtId="41" fontId="40" fillId="0" borderId="0" xfId="38" applyFont="1"/>
    <xf numFmtId="41" fontId="112" fillId="0" borderId="0" xfId="38" applyFont="1"/>
    <xf numFmtId="169" fontId="27" fillId="0" borderId="0" xfId="47" applyNumberFormat="1" applyFont="1"/>
    <xf numFmtId="49" fontId="111" fillId="57" borderId="0" xfId="0" applyNumberFormat="1" applyFont="1" applyFill="1"/>
    <xf numFmtId="169" fontId="111" fillId="57" borderId="0" xfId="47" applyNumberFormat="1" applyFont="1" applyFill="1"/>
    <xf numFmtId="49" fontId="111" fillId="47" borderId="0" xfId="0" applyNumberFormat="1" applyFont="1" applyFill="1"/>
    <xf numFmtId="41" fontId="111" fillId="59" borderId="0" xfId="38" applyFont="1" applyFill="1"/>
    <xf numFmtId="41" fontId="111" fillId="58" borderId="0" xfId="38" applyFont="1" applyFill="1"/>
    <xf numFmtId="169" fontId="27" fillId="47" borderId="0" xfId="47" applyNumberFormat="1" applyFont="1" applyFill="1"/>
    <xf numFmtId="169" fontId="111" fillId="47" borderId="0" xfId="47" applyNumberFormat="1" applyFont="1" applyFill="1"/>
    <xf numFmtId="169" fontId="4" fillId="64" borderId="13" xfId="67" applyNumberFormat="1" applyFont="1" applyFill="1" applyBorder="1"/>
    <xf numFmtId="169" fontId="27" fillId="0" borderId="0" xfId="47" applyNumberFormat="1" applyFont="1" applyFill="1"/>
    <xf numFmtId="169" fontId="111" fillId="0" borderId="0" xfId="47" applyNumberFormat="1" applyFont="1" applyFill="1"/>
    <xf numFmtId="49" fontId="111" fillId="67" borderId="0" xfId="0" applyNumberFormat="1" applyFont="1" applyFill="1"/>
    <xf numFmtId="49" fontId="113" fillId="0" borderId="0" xfId="0" applyNumberFormat="1" applyFont="1"/>
    <xf numFmtId="41" fontId="113" fillId="0" borderId="0" xfId="38" applyFont="1" applyFill="1"/>
    <xf numFmtId="41" fontId="77" fillId="0" borderId="0" xfId="38" applyFont="1" applyFill="1"/>
    <xf numFmtId="41" fontId="77" fillId="0" borderId="0" xfId="38" applyFont="1"/>
    <xf numFmtId="41" fontId="113" fillId="0" borderId="0" xfId="38" applyFont="1"/>
    <xf numFmtId="49" fontId="77" fillId="0" borderId="0" xfId="0" applyNumberFormat="1" applyFont="1"/>
    <xf numFmtId="49" fontId="111" fillId="44" borderId="0" xfId="0" applyNumberFormat="1" applyFont="1" applyFill="1"/>
    <xf numFmtId="41" fontId="111" fillId="0" borderId="0" xfId="38" applyFont="1" applyFill="1"/>
    <xf numFmtId="41" fontId="27" fillId="0" borderId="0" xfId="38" applyFont="1" applyFill="1"/>
    <xf numFmtId="41" fontId="27" fillId="47" borderId="0" xfId="38" applyFont="1" applyFill="1"/>
    <xf numFmtId="41" fontId="111" fillId="47" borderId="0" xfId="38" applyFont="1" applyFill="1"/>
    <xf numFmtId="164" fontId="27" fillId="47" borderId="0" xfId="39" applyFont="1" applyFill="1"/>
    <xf numFmtId="164" fontId="27" fillId="0" borderId="0" xfId="39" applyFont="1" applyFill="1"/>
    <xf numFmtId="41" fontId="77" fillId="66" borderId="0" xfId="38" applyFont="1" applyFill="1"/>
    <xf numFmtId="41" fontId="113" fillId="66" borderId="0" xfId="38" applyFont="1" applyFill="1"/>
    <xf numFmtId="41" fontId="111" fillId="66" borderId="0" xfId="38" applyFont="1" applyFill="1"/>
    <xf numFmtId="41" fontId="113" fillId="67" borderId="0" xfId="38" applyFont="1" applyFill="1"/>
    <xf numFmtId="41" fontId="77" fillId="67" borderId="0" xfId="38" applyFont="1" applyFill="1"/>
    <xf numFmtId="41" fontId="111" fillId="67" borderId="0" xfId="38" applyFont="1" applyFill="1"/>
    <xf numFmtId="41" fontId="111" fillId="68" borderId="0" xfId="38" applyFont="1" applyFill="1"/>
    <xf numFmtId="41" fontId="27" fillId="67" borderId="0" xfId="38" applyFont="1" applyFill="1"/>
    <xf numFmtId="164" fontId="111" fillId="67" borderId="0" xfId="39" applyFont="1" applyFill="1"/>
    <xf numFmtId="3" fontId="23" fillId="66" borderId="0" xfId="0" applyNumberFormat="1" applyFont="1" applyFill="1"/>
    <xf numFmtId="3" fontId="110" fillId="66" borderId="0" xfId="0" applyNumberFormat="1" applyFont="1" applyFill="1"/>
    <xf numFmtId="3" fontId="23" fillId="69" borderId="0" xfId="0" applyNumberFormat="1" applyFont="1" applyFill="1"/>
    <xf numFmtId="3" fontId="2" fillId="69" borderId="0" xfId="0" applyNumberFormat="1" applyFont="1" applyFill="1"/>
    <xf numFmtId="3" fontId="23" fillId="70" borderId="0" xfId="0" applyNumberFormat="1" applyFont="1" applyFill="1"/>
    <xf numFmtId="3" fontId="2" fillId="70" borderId="0" xfId="0" applyNumberFormat="1" applyFont="1" applyFill="1"/>
    <xf numFmtId="169" fontId="0" fillId="0" borderId="0" xfId="0" applyNumberFormat="1"/>
    <xf numFmtId="3" fontId="23" fillId="72" borderId="0" xfId="0" applyNumberFormat="1" applyFont="1" applyFill="1"/>
    <xf numFmtId="3" fontId="2" fillId="72" borderId="0" xfId="0" applyNumberFormat="1" applyFont="1" applyFill="1"/>
    <xf numFmtId="3" fontId="23" fillId="47" borderId="0" xfId="0" applyNumberFormat="1" applyFont="1" applyFill="1"/>
    <xf numFmtId="166" fontId="45" fillId="73" borderId="0" xfId="37" applyNumberFormat="1" applyFont="1" applyFill="1"/>
    <xf numFmtId="41" fontId="111" fillId="73" borderId="0" xfId="38" applyFont="1" applyFill="1"/>
    <xf numFmtId="3" fontId="23" fillId="74" borderId="0" xfId="0" applyNumberFormat="1" applyFont="1" applyFill="1"/>
    <xf numFmtId="3" fontId="2" fillId="74" borderId="0" xfId="0" applyNumberFormat="1" applyFont="1" applyFill="1"/>
    <xf numFmtId="3" fontId="111" fillId="0" borderId="0" xfId="0" applyNumberFormat="1" applyFont="1"/>
    <xf numFmtId="3" fontId="23" fillId="75" borderId="0" xfId="0" applyNumberFormat="1" applyFont="1" applyFill="1"/>
    <xf numFmtId="172" fontId="28" fillId="2" borderId="0" xfId="37" applyNumberFormat="1" applyFont="1" applyFill="1"/>
    <xf numFmtId="0" fontId="98" fillId="0" borderId="39" xfId="0" applyFont="1" applyBorder="1" applyAlignment="1">
      <alignment vertical="center" wrapText="1"/>
    </xf>
    <xf numFmtId="0" fontId="98" fillId="0" borderId="40" xfId="0" applyFont="1" applyBorder="1" applyAlignment="1">
      <alignment vertical="center" wrapText="1"/>
    </xf>
    <xf numFmtId="0" fontId="98" fillId="0" borderId="41" xfId="0" applyFont="1" applyBorder="1" applyAlignment="1">
      <alignment vertical="center" wrapText="1"/>
    </xf>
    <xf numFmtId="169" fontId="113" fillId="0" borderId="0" xfId="47" applyNumberFormat="1" applyFont="1"/>
    <xf numFmtId="169" fontId="77" fillId="0" borderId="0" xfId="47" applyNumberFormat="1" applyFont="1"/>
    <xf numFmtId="169" fontId="113" fillId="63" borderId="0" xfId="47" applyNumberFormat="1" applyFont="1" applyFill="1"/>
    <xf numFmtId="169" fontId="113" fillId="49" borderId="0" xfId="47" applyNumberFormat="1" applyFont="1" applyFill="1"/>
    <xf numFmtId="169" fontId="113" fillId="71" borderId="0" xfId="47" applyNumberFormat="1" applyFont="1" applyFill="1"/>
    <xf numFmtId="169" fontId="113" fillId="57" borderId="0" xfId="47" applyNumberFormat="1" applyFont="1" applyFill="1"/>
    <xf numFmtId="169" fontId="113" fillId="58" borderId="0" xfId="47" applyNumberFormat="1" applyFont="1" applyFill="1"/>
    <xf numFmtId="169" fontId="113" fillId="61" borderId="0" xfId="47" applyNumberFormat="1" applyFont="1" applyFill="1"/>
    <xf numFmtId="169" fontId="77" fillId="71" borderId="0" xfId="47" applyNumberFormat="1" applyFont="1" applyFill="1"/>
    <xf numFmtId="169" fontId="77" fillId="55" borderId="0" xfId="47" applyNumberFormat="1" applyFont="1" applyFill="1"/>
    <xf numFmtId="169" fontId="77" fillId="67" borderId="0" xfId="47" applyNumberFormat="1" applyFont="1" applyFill="1"/>
    <xf numFmtId="169" fontId="77" fillId="0" borderId="0" xfId="47" applyNumberFormat="1" applyFont="1" applyFill="1"/>
    <xf numFmtId="169" fontId="113" fillId="0" borderId="0" xfId="47" applyNumberFormat="1" applyFont="1" applyFill="1"/>
    <xf numFmtId="169" fontId="77" fillId="49" borderId="0" xfId="47" applyNumberFormat="1" applyFont="1" applyFill="1"/>
    <xf numFmtId="169" fontId="77" fillId="62" borderId="0" xfId="47" applyNumberFormat="1" applyFont="1" applyFill="1"/>
    <xf numFmtId="169" fontId="77" fillId="65" borderId="0" xfId="47" applyNumberFormat="1" applyFont="1" applyFill="1"/>
    <xf numFmtId="169" fontId="113" fillId="62" borderId="0" xfId="47" applyNumberFormat="1" applyFont="1" applyFill="1"/>
    <xf numFmtId="169" fontId="113" fillId="65" borderId="0" xfId="47" applyNumberFormat="1" applyFont="1" applyFill="1"/>
    <xf numFmtId="169" fontId="113" fillId="54" borderId="0" xfId="47" applyNumberFormat="1" applyFont="1" applyFill="1"/>
    <xf numFmtId="169" fontId="113" fillId="60" borderId="0" xfId="47" applyNumberFormat="1" applyFont="1" applyFill="1"/>
    <xf numFmtId="169" fontId="77" fillId="58" borderId="0" xfId="47" applyNumberFormat="1" applyFont="1" applyFill="1"/>
    <xf numFmtId="169" fontId="113" fillId="66" borderId="0" xfId="47" applyNumberFormat="1" applyFont="1" applyFill="1"/>
    <xf numFmtId="169" fontId="77" fillId="47" borderId="0" xfId="47" applyNumberFormat="1" applyFont="1" applyFill="1"/>
    <xf numFmtId="169" fontId="113" fillId="67" borderId="0" xfId="47" applyNumberFormat="1" applyFont="1" applyFill="1"/>
    <xf numFmtId="169" fontId="77" fillId="66" borderId="0" xfId="47" applyNumberFormat="1" applyFont="1" applyFill="1"/>
    <xf numFmtId="169" fontId="77" fillId="57" borderId="0" xfId="47" applyNumberFormat="1" applyFont="1" applyFill="1"/>
    <xf numFmtId="169" fontId="113" fillId="47" borderId="0" xfId="47" applyNumberFormat="1" applyFont="1" applyFill="1"/>
    <xf numFmtId="41" fontId="0" fillId="0" borderId="0" xfId="38" applyFont="1"/>
    <xf numFmtId="9" fontId="0" fillId="0" borderId="0" xfId="175" applyFont="1"/>
    <xf numFmtId="0" fontId="0" fillId="47" borderId="0" xfId="0" applyFill="1"/>
    <xf numFmtId="41" fontId="0" fillId="47" borderId="0" xfId="38" applyFont="1" applyFill="1"/>
    <xf numFmtId="41" fontId="0" fillId="56" borderId="0" xfId="38" applyFont="1" applyFill="1"/>
    <xf numFmtId="41" fontId="0" fillId="52" borderId="0" xfId="38" applyFont="1" applyFill="1"/>
    <xf numFmtId="169" fontId="113" fillId="52" borderId="0" xfId="47" applyNumberFormat="1" applyFont="1" applyFill="1"/>
    <xf numFmtId="3" fontId="46" fillId="0" borderId="0" xfId="0" applyNumberFormat="1" applyFont="1"/>
    <xf numFmtId="169" fontId="111" fillId="58" borderId="0" xfId="47" applyNumberFormat="1" applyFont="1" applyFill="1"/>
    <xf numFmtId="169" fontId="27" fillId="58" borderId="0" xfId="47" applyNumberFormat="1" applyFont="1" applyFill="1"/>
    <xf numFmtId="169" fontId="111" fillId="50" borderId="0" xfId="47" applyNumberFormat="1" applyFont="1" applyFill="1"/>
    <xf numFmtId="169" fontId="27" fillId="50" borderId="0" xfId="47" applyNumberFormat="1" applyFont="1" applyFill="1"/>
    <xf numFmtId="169" fontId="111" fillId="49" borderId="0" xfId="47" applyNumberFormat="1" applyFont="1" applyFill="1"/>
    <xf numFmtId="169" fontId="27" fillId="49" borderId="0" xfId="47" applyNumberFormat="1" applyFont="1" applyFill="1"/>
    <xf numFmtId="169" fontId="111" fillId="46" borderId="0" xfId="47" applyNumberFormat="1" applyFont="1" applyFill="1"/>
    <xf numFmtId="49" fontId="112" fillId="46" borderId="0" xfId="0" applyNumberFormat="1" applyFont="1" applyFill="1"/>
    <xf numFmtId="41" fontId="112" fillId="46" borderId="0" xfId="38" applyFont="1" applyFill="1"/>
    <xf numFmtId="49" fontId="111" fillId="46" borderId="0" xfId="0" applyNumberFormat="1" applyFont="1" applyFill="1"/>
    <xf numFmtId="41" fontId="111" fillId="46" borderId="0" xfId="38" applyFont="1" applyFill="1"/>
    <xf numFmtId="3" fontId="64" fillId="0" borderId="0" xfId="0" applyNumberFormat="1" applyFont="1"/>
    <xf numFmtId="169" fontId="2" fillId="0" borderId="0" xfId="47" applyNumberFormat="1" applyFont="1" applyFill="1"/>
    <xf numFmtId="169" fontId="2" fillId="0" borderId="0" xfId="37" applyNumberFormat="1" applyFont="1" applyFill="1"/>
    <xf numFmtId="41" fontId="0" fillId="0" borderId="7" xfId="38" applyFont="1" applyBorder="1"/>
    <xf numFmtId="166" fontId="58" fillId="0" borderId="0" xfId="0" applyNumberFormat="1" applyFont="1"/>
    <xf numFmtId="0" fontId="114" fillId="0" borderId="0" xfId="0" applyFont="1" applyAlignment="1">
      <alignment horizontal="center" vertical="center"/>
    </xf>
    <xf numFmtId="0" fontId="51" fillId="0" borderId="0" xfId="0" applyFont="1" applyAlignment="1">
      <alignment horizontal="center" vertical="center"/>
    </xf>
    <xf numFmtId="166" fontId="62" fillId="0" borderId="0" xfId="37" applyNumberFormat="1" applyFont="1" applyFill="1" applyAlignment="1">
      <alignment horizontal="center"/>
    </xf>
    <xf numFmtId="166" fontId="115" fillId="0" borderId="0" xfId="37" applyNumberFormat="1" applyFont="1" applyFill="1" applyAlignment="1">
      <alignment horizontal="center"/>
    </xf>
    <xf numFmtId="0" fontId="5" fillId="0" borderId="0" xfId="0" applyFont="1" applyAlignment="1">
      <alignment horizontal="left" vertical="center"/>
    </xf>
    <xf numFmtId="0" fontId="45" fillId="0" borderId="0" xfId="0" applyFont="1" applyAlignment="1">
      <alignment horizontal="left"/>
    </xf>
    <xf numFmtId="0" fontId="0" fillId="0" borderId="0" xfId="0"/>
    <xf numFmtId="0" fontId="54" fillId="37" borderId="0" xfId="0" applyFont="1" applyFill="1" applyAlignment="1">
      <alignment horizontal="left" vertical="center"/>
    </xf>
    <xf numFmtId="0" fontId="1" fillId="0" borderId="0" xfId="0" applyFont="1" applyAlignment="1">
      <alignment horizontal="left"/>
    </xf>
    <xf numFmtId="0" fontId="54" fillId="37" borderId="0" xfId="0" applyFont="1" applyFill="1" applyAlignment="1">
      <alignment horizontal="left"/>
    </xf>
    <xf numFmtId="0" fontId="1" fillId="0" borderId="0" xfId="0" applyFont="1" applyAlignment="1">
      <alignment horizontal="center"/>
    </xf>
    <xf numFmtId="0" fontId="2" fillId="0" borderId="0" xfId="0" applyFont="1" applyAlignment="1">
      <alignment horizontal="center"/>
    </xf>
    <xf numFmtId="0" fontId="1" fillId="0" borderId="0" xfId="0" applyFont="1" applyAlignment="1">
      <alignment horizontal="left" vertical="center"/>
    </xf>
    <xf numFmtId="0" fontId="0" fillId="0" borderId="0" xfId="0" applyAlignment="1">
      <alignment horizontal="left"/>
    </xf>
    <xf numFmtId="3" fontId="45" fillId="0" borderId="0" xfId="0" applyNumberFormat="1" applyFont="1" applyAlignment="1">
      <alignment horizontal="center"/>
    </xf>
    <xf numFmtId="0" fontId="46" fillId="0" borderId="0" xfId="0" applyFont="1" applyAlignment="1">
      <alignment horizontal="right" vertical="center"/>
    </xf>
    <xf numFmtId="0" fontId="45" fillId="0" borderId="0" xfId="0" applyFont="1" applyAlignment="1">
      <alignment horizontal="center"/>
    </xf>
    <xf numFmtId="0" fontId="64" fillId="35" borderId="0" xfId="0" applyFont="1" applyFill="1" applyAlignment="1">
      <alignment horizontal="center"/>
    </xf>
    <xf numFmtId="0" fontId="7" fillId="0" borderId="0" xfId="0" applyFont="1" applyAlignment="1">
      <alignment horizontal="center"/>
    </xf>
    <xf numFmtId="0" fontId="8" fillId="0" borderId="0" xfId="0" applyFont="1" applyAlignment="1">
      <alignment horizontal="center"/>
    </xf>
    <xf numFmtId="166" fontId="21" fillId="44" borderId="0" xfId="37" applyNumberFormat="1" applyFont="1" applyFill="1" applyAlignment="1">
      <alignment horizontal="center" vertical="center" wrapText="1"/>
    </xf>
    <xf numFmtId="166" fontId="21" fillId="44" borderId="7" xfId="37" applyNumberFormat="1" applyFont="1" applyFill="1" applyBorder="1" applyAlignment="1">
      <alignment horizontal="center" vertical="center" wrapText="1"/>
    </xf>
    <xf numFmtId="0" fontId="64" fillId="0" borderId="0" xfId="0" applyFont="1" applyAlignment="1">
      <alignment horizontal="center"/>
    </xf>
    <xf numFmtId="0" fontId="21" fillId="44" borderId="0" xfId="0" applyFont="1" applyFill="1" applyAlignment="1">
      <alignment horizontal="center" vertical="center" wrapText="1"/>
    </xf>
    <xf numFmtId="0" fontId="105" fillId="0" borderId="0" xfId="0" applyFont="1" applyAlignment="1">
      <alignment horizontal="center" vertical="center" wrapText="1"/>
    </xf>
    <xf numFmtId="0" fontId="96" fillId="0" borderId="0" xfId="0" applyFont="1" applyAlignment="1">
      <alignment horizontal="center"/>
    </xf>
    <xf numFmtId="0" fontId="46" fillId="0" borderId="0" xfId="0" applyFont="1" applyAlignment="1">
      <alignment horizontal="left" vertical="center"/>
    </xf>
    <xf numFmtId="0" fontId="46" fillId="0" borderId="4" xfId="0" applyFont="1" applyBorder="1" applyAlignment="1">
      <alignment horizontal="left" vertical="center"/>
    </xf>
    <xf numFmtId="0" fontId="97" fillId="0" borderId="43" xfId="0" applyFont="1" applyBorder="1" applyAlignment="1">
      <alignment vertical="center" wrapText="1"/>
    </xf>
    <xf numFmtId="0" fontId="97" fillId="0" borderId="24" xfId="0" applyFont="1" applyBorder="1" applyAlignment="1">
      <alignment vertical="center" wrapText="1"/>
    </xf>
    <xf numFmtId="0" fontId="97" fillId="0" borderId="42" xfId="0" applyFont="1" applyBorder="1" applyAlignment="1">
      <alignment vertical="center" wrapText="1"/>
    </xf>
    <xf numFmtId="0" fontId="97" fillId="0" borderId="25" xfId="0" applyFont="1" applyBorder="1" applyAlignment="1">
      <alignment vertical="center" wrapText="1"/>
    </xf>
    <xf numFmtId="0" fontId="97" fillId="0" borderId="39" xfId="0" applyFont="1" applyBorder="1" applyAlignment="1">
      <alignment vertical="center" wrapText="1"/>
    </xf>
    <xf numFmtId="0" fontId="97" fillId="0" borderId="40" xfId="0" applyFont="1" applyBorder="1" applyAlignment="1">
      <alignment vertical="center" wrapText="1"/>
    </xf>
    <xf numFmtId="0" fontId="97" fillId="0" borderId="41" xfId="0" applyFont="1" applyBorder="1" applyAlignment="1">
      <alignment vertical="center" wrapText="1"/>
    </xf>
    <xf numFmtId="0" fontId="98" fillId="0" borderId="43" xfId="0" applyFont="1" applyBorder="1" applyAlignment="1">
      <alignment vertical="center" wrapText="1"/>
    </xf>
    <xf numFmtId="0" fontId="98" fillId="0" borderId="0" xfId="0" applyFont="1" applyAlignment="1">
      <alignment vertical="center" wrapText="1"/>
    </xf>
    <xf numFmtId="0" fontId="98" fillId="0" borderId="24" xfId="0" applyFont="1" applyBorder="1" applyAlignment="1">
      <alignment vertical="center" wrapText="1"/>
    </xf>
    <xf numFmtId="0" fontId="98" fillId="0" borderId="42" xfId="0" applyFont="1" applyBorder="1" applyAlignment="1">
      <alignment vertical="center" wrapText="1"/>
    </xf>
    <xf numFmtId="0" fontId="98" fillId="0" borderId="21" xfId="0" applyFont="1" applyBorder="1" applyAlignment="1">
      <alignment vertical="center" wrapText="1"/>
    </xf>
    <xf numFmtId="0" fontId="98" fillId="0" borderId="25" xfId="0" applyFont="1" applyBorder="1" applyAlignment="1">
      <alignment vertical="center" wrapText="1"/>
    </xf>
    <xf numFmtId="0" fontId="97" fillId="0" borderId="39" xfId="0" applyFont="1" applyBorder="1" applyAlignment="1">
      <alignment horizontal="center" vertical="center" wrapText="1"/>
    </xf>
    <xf numFmtId="0" fontId="97" fillId="0" borderId="40" xfId="0" applyFont="1" applyBorder="1" applyAlignment="1">
      <alignment horizontal="center" vertical="center" wrapText="1"/>
    </xf>
    <xf numFmtId="0" fontId="97" fillId="0" borderId="41" xfId="0" applyFont="1" applyBorder="1" applyAlignment="1">
      <alignment horizontal="center" vertical="center" wrapText="1"/>
    </xf>
    <xf numFmtId="0" fontId="119" fillId="0" borderId="43" xfId="0" applyFont="1" applyBorder="1" applyAlignment="1">
      <alignment horizontal="center" vertical="center" wrapText="1"/>
    </xf>
    <xf numFmtId="0" fontId="119" fillId="0" borderId="0" xfId="0" applyFont="1" applyAlignment="1">
      <alignment horizontal="center" vertical="center" wrapText="1"/>
    </xf>
    <xf numFmtId="0" fontId="119" fillId="0" borderId="24" xfId="0" applyFont="1" applyBorder="1" applyAlignment="1">
      <alignment horizontal="center" vertical="center" wrapText="1"/>
    </xf>
    <xf numFmtId="0" fontId="97" fillId="0" borderId="42" xfId="0" applyFont="1" applyBorder="1" applyAlignment="1">
      <alignment horizontal="center" vertical="center" wrapText="1"/>
    </xf>
    <xf numFmtId="0" fontId="97" fillId="0" borderId="21" xfId="0" applyFont="1" applyBorder="1" applyAlignment="1">
      <alignment horizontal="center" vertical="center" wrapText="1"/>
    </xf>
    <xf numFmtId="0" fontId="97" fillId="0" borderId="25" xfId="0" applyFont="1" applyBorder="1" applyAlignment="1">
      <alignment horizontal="center" vertical="center" wrapText="1"/>
    </xf>
    <xf numFmtId="0" fontId="117" fillId="0" borderId="43" xfId="0" applyFont="1" applyBorder="1" applyAlignment="1">
      <alignment horizontal="justify" vertical="center" wrapText="1"/>
    </xf>
    <xf numFmtId="0" fontId="117" fillId="0" borderId="0" xfId="0" applyFont="1" applyAlignment="1">
      <alignment horizontal="justify" vertical="center" wrapText="1"/>
    </xf>
    <xf numFmtId="0" fontId="117" fillId="0" borderId="24" xfId="0" applyFont="1" applyBorder="1" applyAlignment="1">
      <alignment horizontal="justify" vertical="center" wrapText="1"/>
    </xf>
    <xf numFmtId="0" fontId="0" fillId="0" borderId="42" xfId="0" applyBorder="1" applyAlignment="1">
      <alignment vertical="top" wrapText="1"/>
    </xf>
    <xf numFmtId="0" fontId="0" fillId="0" borderId="21" xfId="0" applyBorder="1" applyAlignment="1">
      <alignment vertical="top" wrapText="1"/>
    </xf>
    <xf numFmtId="0" fontId="0" fillId="0" borderId="25" xfId="0" applyBorder="1" applyAlignment="1">
      <alignment vertical="top" wrapText="1"/>
    </xf>
    <xf numFmtId="0" fontId="97" fillId="0" borderId="39" xfId="0" applyFont="1" applyBorder="1" applyAlignment="1">
      <alignment horizontal="justify" vertical="center" wrapText="1"/>
    </xf>
    <xf numFmtId="0" fontId="97" fillId="0" borderId="40" xfId="0" applyFont="1" applyBorder="1" applyAlignment="1">
      <alignment horizontal="justify" vertical="center" wrapText="1"/>
    </xf>
    <xf numFmtId="0" fontId="97" fillId="0" borderId="41" xfId="0" applyFont="1" applyBorder="1" applyAlignment="1">
      <alignment horizontal="justify" vertical="center" wrapText="1"/>
    </xf>
    <xf numFmtId="0" fontId="118" fillId="0" borderId="43" xfId="0" applyFont="1" applyBorder="1" applyAlignment="1">
      <alignment horizontal="justify" vertical="center" wrapText="1"/>
    </xf>
    <xf numFmtId="0" fontId="118" fillId="0" borderId="0" xfId="0" applyFont="1" applyAlignment="1">
      <alignment horizontal="justify" vertical="center" wrapText="1"/>
    </xf>
    <xf numFmtId="0" fontId="118" fillId="0" borderId="24" xfId="0" applyFont="1" applyBorder="1" applyAlignment="1">
      <alignment horizontal="justify" vertical="center" wrapText="1"/>
    </xf>
    <xf numFmtId="0" fontId="98" fillId="0" borderId="42" xfId="0" applyFont="1" applyBorder="1" applyAlignment="1">
      <alignment horizontal="justify" vertical="center" wrapText="1"/>
    </xf>
    <xf numFmtId="0" fontId="98" fillId="0" borderId="21" xfId="0" applyFont="1" applyBorder="1" applyAlignment="1">
      <alignment horizontal="justify" vertical="center" wrapText="1"/>
    </xf>
    <xf numFmtId="0" fontId="98" fillId="0" borderId="25" xfId="0" applyFont="1" applyBorder="1" applyAlignment="1">
      <alignment horizontal="justify" vertical="center" wrapText="1"/>
    </xf>
    <xf numFmtId="0" fontId="98" fillId="0" borderId="39" xfId="0" applyFont="1" applyBorder="1" applyAlignment="1">
      <alignment horizontal="justify" vertical="center" wrapText="1"/>
    </xf>
    <xf numFmtId="0" fontId="98" fillId="0" borderId="40" xfId="0" applyFont="1" applyBorder="1" applyAlignment="1">
      <alignment horizontal="justify" vertical="center" wrapText="1"/>
    </xf>
    <xf numFmtId="0" fontId="98" fillId="0" borderId="41" xfId="0" applyFont="1" applyBorder="1" applyAlignment="1">
      <alignment horizontal="justify" vertical="center" wrapText="1"/>
    </xf>
    <xf numFmtId="0" fontId="116" fillId="0" borderId="42" xfId="0" applyFont="1" applyBorder="1" applyAlignment="1">
      <alignment vertical="center" wrapText="1"/>
    </xf>
    <xf numFmtId="0" fontId="116" fillId="0" borderId="25" xfId="0" applyFont="1" applyBorder="1" applyAlignment="1">
      <alignment vertical="center" wrapText="1"/>
    </xf>
    <xf numFmtId="0" fontId="98" fillId="0" borderId="42" xfId="0" applyFont="1" applyBorder="1" applyAlignment="1">
      <alignment horizontal="left" vertical="center" wrapText="1"/>
    </xf>
    <xf numFmtId="0" fontId="98" fillId="0" borderId="21" xfId="0" applyFont="1" applyBorder="1" applyAlignment="1">
      <alignment horizontal="left" vertical="center" wrapText="1"/>
    </xf>
    <xf numFmtId="0" fontId="98" fillId="0" borderId="25" xfId="0" applyFont="1" applyBorder="1" applyAlignment="1">
      <alignment horizontal="left" vertical="center" wrapText="1"/>
    </xf>
    <xf numFmtId="0" fontId="97" fillId="0" borderId="38" xfId="0" applyFont="1" applyBorder="1" applyAlignment="1">
      <alignment horizontal="center" vertical="center" wrapText="1"/>
    </xf>
    <xf numFmtId="0" fontId="97" fillId="0" borderId="22" xfId="0" applyFont="1" applyBorder="1" applyAlignment="1">
      <alignment horizontal="center" vertical="center" wrapText="1"/>
    </xf>
    <xf numFmtId="0" fontId="97" fillId="0" borderId="23" xfId="0" applyFont="1" applyBorder="1" applyAlignment="1">
      <alignment horizontal="center" vertical="center" wrapText="1"/>
    </xf>
    <xf numFmtId="0" fontId="97" fillId="0" borderId="21" xfId="0" applyFont="1" applyBorder="1" applyAlignment="1">
      <alignment vertical="center" wrapText="1"/>
    </xf>
    <xf numFmtId="0" fontId="97" fillId="0" borderId="29" xfId="0" applyFont="1" applyBorder="1" applyAlignment="1">
      <alignment vertical="center" wrapText="1"/>
    </xf>
    <xf numFmtId="0" fontId="97" fillId="0" borderId="37" xfId="0" applyFont="1" applyBorder="1" applyAlignment="1">
      <alignment vertical="center" wrapText="1"/>
    </xf>
    <xf numFmtId="0" fontId="97" fillId="0" borderId="20" xfId="0" applyFont="1" applyBorder="1" applyAlignment="1">
      <alignment vertical="center" wrapText="1"/>
    </xf>
    <xf numFmtId="0" fontId="97" fillId="0" borderId="43" xfId="0" applyFont="1" applyBorder="1" applyAlignment="1">
      <alignment horizontal="center" vertical="center" wrapText="1"/>
    </xf>
    <xf numFmtId="0" fontId="97" fillId="0" borderId="0" xfId="0" applyFont="1" applyAlignment="1">
      <alignment horizontal="center" vertical="center" wrapText="1"/>
    </xf>
    <xf numFmtId="0" fontId="97" fillId="0" borderId="24" xfId="0" applyFont="1" applyBorder="1" applyAlignment="1">
      <alignment horizontal="center" vertical="center" wrapText="1"/>
    </xf>
    <xf numFmtId="0" fontId="53" fillId="0" borderId="4" xfId="0" applyFont="1" applyBorder="1" applyAlignment="1">
      <alignment horizontal="justify" vertical="justify" wrapText="1"/>
    </xf>
    <xf numFmtId="0" fontId="53" fillId="0" borderId="0" xfId="0" applyFont="1" applyAlignment="1">
      <alignment horizontal="justify" vertical="justify" wrapText="1"/>
    </xf>
    <xf numFmtId="0" fontId="53" fillId="0" borderId="11" xfId="0" applyFont="1" applyBorder="1" applyAlignment="1">
      <alignment horizontal="justify" vertical="justify" wrapText="1"/>
    </xf>
    <xf numFmtId="14" fontId="121" fillId="76" borderId="29" xfId="0" applyNumberFormat="1" applyFont="1" applyFill="1" applyBorder="1" applyAlignment="1">
      <alignment horizontal="center" vertical="center" wrapText="1"/>
    </xf>
    <xf numFmtId="14" fontId="121" fillId="76" borderId="20" xfId="0" applyNumberFormat="1" applyFont="1" applyFill="1" applyBorder="1" applyAlignment="1">
      <alignment horizontal="center" vertical="center" wrapText="1"/>
    </xf>
    <xf numFmtId="0" fontId="46" fillId="0" borderId="4" xfId="0" applyFont="1" applyBorder="1" applyAlignment="1">
      <alignment horizontal="left" vertical="justify" wrapText="1"/>
    </xf>
    <xf numFmtId="0" fontId="46" fillId="0" borderId="0" xfId="0" applyFont="1" applyAlignment="1">
      <alignment horizontal="left" vertical="justify" wrapText="1"/>
    </xf>
    <xf numFmtId="0" fontId="46" fillId="0" borderId="11" xfId="0" applyFont="1" applyBorder="1" applyAlignment="1">
      <alignment horizontal="left" vertical="justify" wrapText="1"/>
    </xf>
    <xf numFmtId="0" fontId="46" fillId="0" borderId="0" xfId="0" applyFont="1" applyAlignment="1">
      <alignment horizontal="center"/>
    </xf>
    <xf numFmtId="0" fontId="58" fillId="37" borderId="4" xfId="0" applyFont="1" applyFill="1" applyBorder="1" applyAlignment="1">
      <alignment horizontal="left" vertical="center"/>
    </xf>
    <xf numFmtId="0" fontId="58" fillId="37" borderId="0" xfId="0" applyFont="1" applyFill="1" applyAlignment="1">
      <alignment horizontal="left" vertical="center"/>
    </xf>
    <xf numFmtId="0" fontId="58" fillId="37" borderId="11" xfId="0" applyFont="1" applyFill="1" applyBorder="1" applyAlignment="1">
      <alignment horizontal="left" vertical="center"/>
    </xf>
    <xf numFmtId="0" fontId="9" fillId="0" borderId="1" xfId="0" applyFont="1" applyBorder="1" applyAlignment="1">
      <alignment horizontal="justify" vertical="justify" wrapText="1"/>
    </xf>
    <xf numFmtId="0" fontId="9" fillId="0" borderId="2" xfId="0" applyFont="1" applyBorder="1" applyAlignment="1">
      <alignment horizontal="justify" vertical="justify" wrapText="1"/>
    </xf>
    <xf numFmtId="0" fontId="9" fillId="0" borderId="10" xfId="0" applyFont="1" applyBorder="1" applyAlignment="1">
      <alignment horizontal="justify" vertical="justify" wrapText="1"/>
    </xf>
    <xf numFmtId="0" fontId="84" fillId="0" borderId="4" xfId="0" applyFont="1" applyBorder="1" applyAlignment="1">
      <alignment horizontal="left" vertical="top" wrapText="1"/>
    </xf>
    <xf numFmtId="0" fontId="84" fillId="0" borderId="0" xfId="0" applyFont="1" applyAlignment="1">
      <alignment horizontal="left" vertical="top" wrapText="1"/>
    </xf>
    <xf numFmtId="0" fontId="84" fillId="0" borderId="11" xfId="0" applyFont="1" applyBorder="1" applyAlignment="1">
      <alignment horizontal="left" vertical="top" wrapText="1"/>
    </xf>
    <xf numFmtId="0" fontId="1" fillId="0" borderId="4" xfId="0" applyFont="1" applyBorder="1" applyAlignment="1">
      <alignment horizontal="left" vertical="justify" wrapText="1"/>
    </xf>
    <xf numFmtId="0" fontId="1" fillId="0" borderId="0" xfId="0" applyFont="1" applyAlignment="1">
      <alignment horizontal="left" vertical="justify" wrapText="1"/>
    </xf>
    <xf numFmtId="0" fontId="1" fillId="0" borderId="11" xfId="0" applyFont="1" applyBorder="1" applyAlignment="1">
      <alignment horizontal="left" vertical="justify" wrapText="1"/>
    </xf>
    <xf numFmtId="0" fontId="45" fillId="0" borderId="0" xfId="0" applyFont="1" applyAlignment="1">
      <alignment horizontal="left" vertical="justify" wrapText="1"/>
    </xf>
    <xf numFmtId="0" fontId="53" fillId="0" borderId="4" xfId="0" applyFont="1" applyBorder="1" applyAlignment="1">
      <alignment horizontal="left" vertical="justify" wrapText="1"/>
    </xf>
    <xf numFmtId="0" fontId="53" fillId="0" borderId="0" xfId="0" applyFont="1" applyAlignment="1">
      <alignment horizontal="left" vertical="justify" wrapText="1"/>
    </xf>
    <xf numFmtId="0" fontId="53" fillId="0" borderId="11" xfId="0" applyFont="1" applyBorder="1" applyAlignment="1">
      <alignment horizontal="left" vertical="justify" wrapText="1"/>
    </xf>
    <xf numFmtId="0" fontId="45" fillId="0" borderId="0" xfId="0" applyFont="1" applyAlignment="1">
      <alignment horizontal="left" vertical="top" wrapText="1"/>
    </xf>
    <xf numFmtId="0" fontId="46" fillId="0" borderId="4" xfId="0" applyFont="1" applyBorder="1" applyAlignment="1">
      <alignment horizontal="left"/>
    </xf>
    <xf numFmtId="0" fontId="46" fillId="0" borderId="0" xfId="0" applyFont="1" applyAlignment="1">
      <alignment horizontal="left"/>
    </xf>
    <xf numFmtId="0" fontId="46" fillId="0" borderId="11" xfId="0" applyFont="1" applyBorder="1" applyAlignment="1">
      <alignment horizontal="left"/>
    </xf>
    <xf numFmtId="0" fontId="120" fillId="44" borderId="0" xfId="0" applyFont="1" applyFill="1" applyAlignment="1">
      <alignment horizontal="left" vertical="center" wrapText="1"/>
    </xf>
    <xf numFmtId="0" fontId="120" fillId="44" borderId="11" xfId="0" applyFont="1" applyFill="1" applyBorder="1" applyAlignment="1">
      <alignment horizontal="left" vertical="center" wrapText="1"/>
    </xf>
    <xf numFmtId="0" fontId="2" fillId="0" borderId="6" xfId="0" applyFont="1" applyBorder="1" applyAlignment="1">
      <alignment horizontal="left" vertical="justify" wrapText="1"/>
    </xf>
    <xf numFmtId="0" fontId="2" fillId="0" borderId="7" xfId="0" applyFont="1" applyBorder="1" applyAlignment="1">
      <alignment horizontal="left" vertical="justify" wrapText="1"/>
    </xf>
    <xf numFmtId="0" fontId="2" fillId="0" borderId="16" xfId="0" applyFont="1" applyBorder="1" applyAlignment="1">
      <alignment horizontal="left" vertical="justify" wrapText="1"/>
    </xf>
    <xf numFmtId="0" fontId="58" fillId="37" borderId="0" xfId="0" applyFont="1" applyFill="1" applyAlignment="1">
      <alignment horizontal="left"/>
    </xf>
    <xf numFmtId="0" fontId="75" fillId="36" borderId="0" xfId="0" applyFont="1" applyFill="1" applyAlignment="1">
      <alignment horizontal="center"/>
    </xf>
    <xf numFmtId="0" fontId="53" fillId="36" borderId="14" xfId="0" applyFont="1" applyFill="1" applyBorder="1" applyAlignment="1">
      <alignment horizontal="center"/>
    </xf>
    <xf numFmtId="0" fontId="53" fillId="36" borderId="15" xfId="0" applyFont="1" applyFill="1" applyBorder="1" applyAlignment="1">
      <alignment horizontal="center"/>
    </xf>
    <xf numFmtId="0" fontId="81" fillId="39" borderId="14" xfId="94" applyFont="1" applyFill="1" applyBorder="1" applyAlignment="1">
      <alignment horizontal="left" vertical="center"/>
    </xf>
    <xf numFmtId="0" fontId="81" fillId="39" borderId="9" xfId="94" applyFont="1" applyFill="1" applyBorder="1" applyAlignment="1">
      <alignment horizontal="left" vertical="center"/>
    </xf>
    <xf numFmtId="0" fontId="81" fillId="39" borderId="15" xfId="94" applyFont="1" applyFill="1" applyBorder="1" applyAlignment="1">
      <alignment horizontal="left" vertical="center"/>
    </xf>
    <xf numFmtId="0" fontId="44" fillId="2" borderId="0" xfId="0" applyFont="1" applyFill="1" applyAlignment="1">
      <alignment horizontal="center" vertical="center"/>
    </xf>
    <xf numFmtId="0" fontId="88" fillId="36" borderId="0" xfId="0" applyFont="1" applyFill="1" applyAlignment="1">
      <alignment horizontal="left"/>
    </xf>
    <xf numFmtId="0" fontId="58" fillId="37" borderId="0" xfId="0" applyFont="1" applyFill="1" applyAlignment="1">
      <alignment horizontal="center" vertical="center"/>
    </xf>
    <xf numFmtId="0" fontId="0" fillId="2" borderId="0" xfId="0" applyFill="1" applyAlignment="1">
      <alignment horizontal="center"/>
    </xf>
    <xf numFmtId="0" fontId="71" fillId="2" borderId="0" xfId="0" applyFont="1" applyFill="1" applyAlignment="1">
      <alignment horizontal="center"/>
    </xf>
    <xf numFmtId="0" fontId="0" fillId="0" borderId="0" xfId="0" applyAlignment="1">
      <alignment horizontal="center"/>
    </xf>
    <xf numFmtId="0" fontId="120" fillId="2" borderId="0" xfId="0" applyFont="1" applyFill="1" applyAlignment="1">
      <alignment horizontal="left" wrapText="1"/>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0" fontId="83" fillId="37" borderId="63" xfId="0" applyFont="1" applyFill="1" applyBorder="1" applyAlignment="1">
      <alignment horizontal="center" vertical="center" wrapText="1"/>
    </xf>
    <xf numFmtId="0" fontId="83" fillId="37" borderId="64" xfId="0" applyFont="1" applyFill="1" applyBorder="1" applyAlignment="1">
      <alignment horizontal="center" vertical="center" wrapText="1"/>
    </xf>
    <xf numFmtId="0" fontId="83" fillId="37" borderId="65" xfId="0" applyFont="1" applyFill="1" applyBorder="1" applyAlignment="1">
      <alignment horizontal="center" vertical="center" wrapText="1"/>
    </xf>
    <xf numFmtId="9" fontId="72" fillId="2" borderId="0" xfId="175" applyFont="1" applyFill="1" applyBorder="1" applyAlignment="1">
      <alignment horizontal="center"/>
    </xf>
    <xf numFmtId="9" fontId="86" fillId="2" borderId="0" xfId="175" applyFont="1" applyFill="1" applyBorder="1" applyAlignment="1">
      <alignment horizontal="left"/>
    </xf>
    <xf numFmtId="0" fontId="84" fillId="2" borderId="0" xfId="0" applyFont="1" applyFill="1" applyAlignment="1">
      <alignment horizontal="left"/>
    </xf>
    <xf numFmtId="0" fontId="77" fillId="2" borderId="0" xfId="0" applyFont="1" applyFill="1" applyAlignment="1">
      <alignment horizontal="left"/>
    </xf>
    <xf numFmtId="0" fontId="77" fillId="2" borderId="0" xfId="0" applyFont="1" applyFill="1" applyAlignment="1">
      <alignment horizontal="left" vertical="center" wrapText="1"/>
    </xf>
    <xf numFmtId="0" fontId="30" fillId="37" borderId="0" xfId="0" applyFont="1" applyFill="1" applyAlignment="1">
      <alignment horizontal="left"/>
    </xf>
    <xf numFmtId="0" fontId="89" fillId="0" borderId="0" xfId="0" applyFont="1" applyAlignment="1">
      <alignment horizontal="left" vertical="center" wrapText="1"/>
    </xf>
    <xf numFmtId="0" fontId="89" fillId="2" borderId="0" xfId="0" applyFont="1" applyFill="1" applyAlignment="1">
      <alignment horizontal="left" vertical="center" wrapText="1"/>
    </xf>
    <xf numFmtId="0" fontId="89" fillId="2" borderId="0" xfId="0" applyFont="1" applyFill="1" applyAlignment="1">
      <alignment horizontal="left" vertical="center"/>
    </xf>
    <xf numFmtId="0" fontId="2" fillId="2" borderId="0" xfId="0" applyFont="1" applyFill="1" applyAlignment="1">
      <alignment horizontal="left" vertical="center" wrapText="1"/>
    </xf>
    <xf numFmtId="0" fontId="77" fillId="2" borderId="0" xfId="0" applyFont="1" applyFill="1" applyAlignment="1">
      <alignment horizontal="left" wrapText="1"/>
    </xf>
  </cellXfs>
  <cellStyles count="18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Comma 4 2" xfId="22" xr:uid="{00000000-0005-0000-0000-000015000000}"/>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xr:uid="{00000000-0005-0000-0000-00001E000000}"/>
    <cellStyle name="Excel Built-in Normal" xfId="32" xr:uid="{00000000-0005-0000-0000-00001F000000}"/>
    <cellStyle name="Excel Built-in Normal 2" xfId="33" xr:uid="{00000000-0005-0000-0000-000020000000}"/>
    <cellStyle name="Hipervínculo" xfId="34" builtinId="8"/>
    <cellStyle name="Hipervínculo 2" xfId="35" xr:uid="{00000000-0005-0000-0000-000022000000}"/>
    <cellStyle name="Incorrecto" xfId="36" builtinId="27" customBuiltin="1"/>
    <cellStyle name="Millares" xfId="37" builtinId="3"/>
    <cellStyle name="Millares [0]" xfId="38" builtinId="6"/>
    <cellStyle name="Millares [0] 2" xfId="39" xr:uid="{00000000-0005-0000-0000-000026000000}"/>
    <cellStyle name="Millares [0] 2 2" xfId="40" xr:uid="{00000000-0005-0000-0000-000027000000}"/>
    <cellStyle name="Millares [0] 2 3" xfId="41" xr:uid="{00000000-0005-0000-0000-000028000000}"/>
    <cellStyle name="Millares [0] 2 4" xfId="42" xr:uid="{00000000-0005-0000-0000-000029000000}"/>
    <cellStyle name="Millares [0] 2 5" xfId="43" xr:uid="{00000000-0005-0000-0000-00002A000000}"/>
    <cellStyle name="Millares [0] 3" xfId="44" xr:uid="{00000000-0005-0000-0000-00002B000000}"/>
    <cellStyle name="Millares [0] 3 2" xfId="45" xr:uid="{00000000-0005-0000-0000-00002C000000}"/>
    <cellStyle name="Millares 10" xfId="46" xr:uid="{00000000-0005-0000-0000-00002D000000}"/>
    <cellStyle name="Millares 100 11" xfId="47" xr:uid="{00000000-0005-0000-0000-00002E000000}"/>
    <cellStyle name="Millares 100 11 2" xfId="48" xr:uid="{00000000-0005-0000-0000-00002F000000}"/>
    <cellStyle name="Millares 100 11 3" xfId="49" xr:uid="{00000000-0005-0000-0000-000030000000}"/>
    <cellStyle name="Millares 11" xfId="50" xr:uid="{00000000-0005-0000-0000-000031000000}"/>
    <cellStyle name="Millares 12" xfId="51" xr:uid="{00000000-0005-0000-0000-000032000000}"/>
    <cellStyle name="Millares 174 2" xfId="52" xr:uid="{00000000-0005-0000-0000-000033000000}"/>
    <cellStyle name="Millares 174 2 2" xfId="53" xr:uid="{00000000-0005-0000-0000-000034000000}"/>
    <cellStyle name="Millares 174 2 3" xfId="54" xr:uid="{00000000-0005-0000-0000-000035000000}"/>
    <cellStyle name="Millares 2" xfId="55" xr:uid="{00000000-0005-0000-0000-000036000000}"/>
    <cellStyle name="Millares 2 2" xfId="56" xr:uid="{00000000-0005-0000-0000-000037000000}"/>
    <cellStyle name="Millares 2 2 2" xfId="57" xr:uid="{00000000-0005-0000-0000-000038000000}"/>
    <cellStyle name="Millares 2 3" xfId="58" xr:uid="{00000000-0005-0000-0000-000039000000}"/>
    <cellStyle name="Millares 2 4" xfId="59" xr:uid="{00000000-0005-0000-0000-00003A000000}"/>
    <cellStyle name="Millares 2 5" xfId="60" xr:uid="{00000000-0005-0000-0000-00003B000000}"/>
    <cellStyle name="Millares 2 6" xfId="61" xr:uid="{00000000-0005-0000-0000-00003C000000}"/>
    <cellStyle name="Millares 212" xfId="62" xr:uid="{00000000-0005-0000-0000-00003D000000}"/>
    <cellStyle name="Millares 212 2" xfId="63" xr:uid="{00000000-0005-0000-0000-00003E000000}"/>
    <cellStyle name="Millares 212 3" xfId="64" xr:uid="{00000000-0005-0000-0000-00003F000000}"/>
    <cellStyle name="Millares 212 4" xfId="65" xr:uid="{00000000-0005-0000-0000-000040000000}"/>
    <cellStyle name="Millares 3" xfId="66" xr:uid="{00000000-0005-0000-0000-000041000000}"/>
    <cellStyle name="Millares 3 11" xfId="67" xr:uid="{00000000-0005-0000-0000-000042000000}"/>
    <cellStyle name="Millares 3 11 2" xfId="68" xr:uid="{00000000-0005-0000-0000-000043000000}"/>
    <cellStyle name="Millares 3 11 3" xfId="69" xr:uid="{00000000-0005-0000-0000-000044000000}"/>
    <cellStyle name="Millares 3 2" xfId="70" xr:uid="{00000000-0005-0000-0000-000045000000}"/>
    <cellStyle name="Millares 3 3" xfId="71" xr:uid="{00000000-0005-0000-0000-000046000000}"/>
    <cellStyle name="Millares 3 4" xfId="72" xr:uid="{00000000-0005-0000-0000-000047000000}"/>
    <cellStyle name="Millares 3 5" xfId="73" xr:uid="{00000000-0005-0000-0000-000048000000}"/>
    <cellStyle name="Millares 4" xfId="74" xr:uid="{00000000-0005-0000-0000-000049000000}"/>
    <cellStyle name="Millares 4 2" xfId="75" xr:uid="{00000000-0005-0000-0000-00004A000000}"/>
    <cellStyle name="Millares 4 3" xfId="76" xr:uid="{00000000-0005-0000-0000-00004B000000}"/>
    <cellStyle name="Millares 4 4" xfId="77" xr:uid="{00000000-0005-0000-0000-00004C000000}"/>
    <cellStyle name="Millares 4 5" xfId="78" xr:uid="{00000000-0005-0000-0000-00004D000000}"/>
    <cellStyle name="Millares 5" xfId="79" xr:uid="{00000000-0005-0000-0000-00004E000000}"/>
    <cellStyle name="Millares 5 2" xfId="80" xr:uid="{00000000-0005-0000-0000-00004F000000}"/>
    <cellStyle name="Millares 5 3" xfId="81" xr:uid="{00000000-0005-0000-0000-000050000000}"/>
    <cellStyle name="Millares 5 4" xfId="82" xr:uid="{00000000-0005-0000-0000-000051000000}"/>
    <cellStyle name="Millares 5 5" xfId="83" xr:uid="{00000000-0005-0000-0000-000052000000}"/>
    <cellStyle name="Millares 6" xfId="84" xr:uid="{00000000-0005-0000-0000-000053000000}"/>
    <cellStyle name="Millares 6 2" xfId="85" xr:uid="{00000000-0005-0000-0000-000054000000}"/>
    <cellStyle name="Millares 654 2 2" xfId="86" xr:uid="{00000000-0005-0000-0000-000055000000}"/>
    <cellStyle name="Millares 656" xfId="87" xr:uid="{00000000-0005-0000-0000-000056000000}"/>
    <cellStyle name="Millares 657" xfId="88" xr:uid="{00000000-0005-0000-0000-000057000000}"/>
    <cellStyle name="Millares 7" xfId="89" xr:uid="{00000000-0005-0000-0000-000058000000}"/>
    <cellStyle name="Millares 7 2" xfId="90" xr:uid="{00000000-0005-0000-0000-000059000000}"/>
    <cellStyle name="Millares 8" xfId="91" xr:uid="{00000000-0005-0000-0000-00005A000000}"/>
    <cellStyle name="Millares 9" xfId="92" xr:uid="{00000000-0005-0000-0000-00005B000000}"/>
    <cellStyle name="Neutral" xfId="93" builtinId="28" customBuiltin="1"/>
    <cellStyle name="Normal" xfId="0" builtinId="0"/>
    <cellStyle name="Normal 10 10 2 2 2" xfId="94" xr:uid="{00000000-0005-0000-0000-00005E000000}"/>
    <cellStyle name="Normal 1016" xfId="95" xr:uid="{00000000-0005-0000-0000-00005F000000}"/>
    <cellStyle name="Normal 1018" xfId="96" xr:uid="{00000000-0005-0000-0000-000060000000}"/>
    <cellStyle name="Normal 1022" xfId="97" xr:uid="{00000000-0005-0000-0000-000061000000}"/>
    <cellStyle name="Normal 1024" xfId="98" xr:uid="{00000000-0005-0000-0000-000062000000}"/>
    <cellStyle name="Normal 1025" xfId="99" xr:uid="{00000000-0005-0000-0000-000063000000}"/>
    <cellStyle name="Normal 1026" xfId="100" xr:uid="{00000000-0005-0000-0000-000064000000}"/>
    <cellStyle name="Normal 1027" xfId="101" xr:uid="{00000000-0005-0000-0000-000065000000}"/>
    <cellStyle name="Normal 105" xfId="102" xr:uid="{00000000-0005-0000-0000-000066000000}"/>
    <cellStyle name="Normal 107" xfId="103" xr:uid="{00000000-0005-0000-0000-000067000000}"/>
    <cellStyle name="Normal 109" xfId="104" xr:uid="{00000000-0005-0000-0000-000068000000}"/>
    <cellStyle name="Normal 12 10" xfId="105" xr:uid="{00000000-0005-0000-0000-000069000000}"/>
    <cellStyle name="Normal 12 2 10" xfId="106" xr:uid="{00000000-0005-0000-0000-00006A000000}"/>
    <cellStyle name="Normal 12 2 2 4" xfId="107" xr:uid="{00000000-0005-0000-0000-00006B000000}"/>
    <cellStyle name="Normal 125" xfId="108" xr:uid="{00000000-0005-0000-0000-00006C000000}"/>
    <cellStyle name="Normal 126" xfId="109" xr:uid="{00000000-0005-0000-0000-00006D000000}"/>
    <cellStyle name="Normal 199 2 2" xfId="110" xr:uid="{00000000-0005-0000-0000-00006E000000}"/>
    <cellStyle name="Normal 2" xfId="111" xr:uid="{00000000-0005-0000-0000-00006F000000}"/>
    <cellStyle name="Normal 2 10 2 2 2" xfId="112" xr:uid="{00000000-0005-0000-0000-000070000000}"/>
    <cellStyle name="Normal 2 2" xfId="113" xr:uid="{00000000-0005-0000-0000-000071000000}"/>
    <cellStyle name="Normal 2 2 2" xfId="114" xr:uid="{00000000-0005-0000-0000-000072000000}"/>
    <cellStyle name="Normal 2 2 2 3" xfId="115" xr:uid="{00000000-0005-0000-0000-000073000000}"/>
    <cellStyle name="Normal 2 3" xfId="116" xr:uid="{00000000-0005-0000-0000-000074000000}"/>
    <cellStyle name="Normal 3" xfId="117" xr:uid="{00000000-0005-0000-0000-000075000000}"/>
    <cellStyle name="Normal 4" xfId="118" xr:uid="{00000000-0005-0000-0000-000076000000}"/>
    <cellStyle name="Normal 601" xfId="119" xr:uid="{00000000-0005-0000-0000-000077000000}"/>
    <cellStyle name="Normal 605" xfId="120" xr:uid="{00000000-0005-0000-0000-000078000000}"/>
    <cellStyle name="Normal 606" xfId="121" xr:uid="{00000000-0005-0000-0000-000079000000}"/>
    <cellStyle name="Normal 636" xfId="122" xr:uid="{00000000-0005-0000-0000-00007A000000}"/>
    <cellStyle name="Normal 640" xfId="123" xr:uid="{00000000-0005-0000-0000-00007B000000}"/>
    <cellStyle name="Normal 643" xfId="124" xr:uid="{00000000-0005-0000-0000-00007C000000}"/>
    <cellStyle name="Normal 646" xfId="125" xr:uid="{00000000-0005-0000-0000-00007D000000}"/>
    <cellStyle name="Normal 647" xfId="126" xr:uid="{00000000-0005-0000-0000-00007E000000}"/>
    <cellStyle name="Normal 649" xfId="127" xr:uid="{00000000-0005-0000-0000-00007F000000}"/>
    <cellStyle name="Normal 650" xfId="128" xr:uid="{00000000-0005-0000-0000-000080000000}"/>
    <cellStyle name="Normal 651" xfId="129" xr:uid="{00000000-0005-0000-0000-000081000000}"/>
    <cellStyle name="Normal 652" xfId="130" xr:uid="{00000000-0005-0000-0000-000082000000}"/>
    <cellStyle name="Normal 653" xfId="131" xr:uid="{00000000-0005-0000-0000-000083000000}"/>
    <cellStyle name="Normal 654" xfId="132" xr:uid="{00000000-0005-0000-0000-000084000000}"/>
    <cellStyle name="Normal 655" xfId="133" xr:uid="{00000000-0005-0000-0000-000085000000}"/>
    <cellStyle name="Normal 656" xfId="134" xr:uid="{00000000-0005-0000-0000-000086000000}"/>
    <cellStyle name="Normal 657" xfId="135" xr:uid="{00000000-0005-0000-0000-000087000000}"/>
    <cellStyle name="Normal 658" xfId="136" xr:uid="{00000000-0005-0000-0000-000088000000}"/>
    <cellStyle name="Normal 659" xfId="137" xr:uid="{00000000-0005-0000-0000-000089000000}"/>
    <cellStyle name="Normal 660" xfId="138" xr:uid="{00000000-0005-0000-0000-00008A000000}"/>
    <cellStyle name="Normal 662" xfId="139" xr:uid="{00000000-0005-0000-0000-00008B000000}"/>
    <cellStyle name="Normal 663" xfId="140" xr:uid="{00000000-0005-0000-0000-00008C000000}"/>
    <cellStyle name="Normal 664" xfId="141" xr:uid="{00000000-0005-0000-0000-00008D000000}"/>
    <cellStyle name="Normal 665" xfId="142" xr:uid="{00000000-0005-0000-0000-00008E000000}"/>
    <cellStyle name="Normal 667" xfId="143" xr:uid="{00000000-0005-0000-0000-00008F000000}"/>
    <cellStyle name="Normal 673" xfId="144" xr:uid="{00000000-0005-0000-0000-000090000000}"/>
    <cellStyle name="Normal 674" xfId="145" xr:uid="{00000000-0005-0000-0000-000091000000}"/>
    <cellStyle name="Normal 675" xfId="146" xr:uid="{00000000-0005-0000-0000-000092000000}"/>
    <cellStyle name="Normal 676" xfId="147" xr:uid="{00000000-0005-0000-0000-000093000000}"/>
    <cellStyle name="Normal 677" xfId="148" xr:uid="{00000000-0005-0000-0000-000094000000}"/>
    <cellStyle name="Normal 678" xfId="149" xr:uid="{00000000-0005-0000-0000-000095000000}"/>
    <cellStyle name="Normal 679" xfId="150" xr:uid="{00000000-0005-0000-0000-000096000000}"/>
    <cellStyle name="Normal 684" xfId="151" xr:uid="{00000000-0005-0000-0000-000097000000}"/>
    <cellStyle name="Normal 713" xfId="152" xr:uid="{00000000-0005-0000-0000-000098000000}"/>
    <cellStyle name="Normal 714" xfId="153" xr:uid="{00000000-0005-0000-0000-000099000000}"/>
    <cellStyle name="Normal 715" xfId="154" xr:uid="{00000000-0005-0000-0000-00009A000000}"/>
    <cellStyle name="Normal 744" xfId="155" xr:uid="{00000000-0005-0000-0000-00009B000000}"/>
    <cellStyle name="Normal 802" xfId="156" xr:uid="{00000000-0005-0000-0000-00009C000000}"/>
    <cellStyle name="Normal 9" xfId="157" xr:uid="{00000000-0005-0000-0000-00009D000000}"/>
    <cellStyle name="Normal 944" xfId="158" xr:uid="{00000000-0005-0000-0000-00009E000000}"/>
    <cellStyle name="Normal 947" xfId="159" xr:uid="{00000000-0005-0000-0000-00009F000000}"/>
    <cellStyle name="Normal 952" xfId="160" xr:uid="{00000000-0005-0000-0000-0000A0000000}"/>
    <cellStyle name="Normal 957" xfId="161" xr:uid="{00000000-0005-0000-0000-0000A1000000}"/>
    <cellStyle name="Normal 958" xfId="162" xr:uid="{00000000-0005-0000-0000-0000A2000000}"/>
    <cellStyle name="Normal 959" xfId="163" xr:uid="{00000000-0005-0000-0000-0000A3000000}"/>
    <cellStyle name="Normal 960" xfId="164" xr:uid="{00000000-0005-0000-0000-0000A4000000}"/>
    <cellStyle name="Normal 961" xfId="165" xr:uid="{00000000-0005-0000-0000-0000A5000000}"/>
    <cellStyle name="Normal 962" xfId="166" xr:uid="{00000000-0005-0000-0000-0000A6000000}"/>
    <cellStyle name="Normal 963" xfId="167" xr:uid="{00000000-0005-0000-0000-0000A7000000}"/>
    <cellStyle name="Normal 964" xfId="168" xr:uid="{00000000-0005-0000-0000-0000A8000000}"/>
    <cellStyle name="Normal 965" xfId="169" xr:uid="{00000000-0005-0000-0000-0000A9000000}"/>
    <cellStyle name="Normal 966" xfId="170" xr:uid="{00000000-0005-0000-0000-0000AA000000}"/>
    <cellStyle name="Normal 967" xfId="171" xr:uid="{00000000-0005-0000-0000-0000AB000000}"/>
    <cellStyle name="Normal 971" xfId="172" xr:uid="{00000000-0005-0000-0000-0000AC000000}"/>
    <cellStyle name="Normal 986" xfId="173" xr:uid="{00000000-0005-0000-0000-0000AD000000}"/>
    <cellStyle name="Notas" xfId="174" builtinId="10" customBuiltin="1"/>
    <cellStyle name="Porcentaje" xfId="175" builtinId="5"/>
    <cellStyle name="Porcentaje 2" xfId="176" xr:uid="{00000000-0005-0000-0000-0000B0000000}"/>
    <cellStyle name="Salida" xfId="177" builtinId="21" customBuiltin="1"/>
    <cellStyle name="Texto de advertencia" xfId="178" builtinId="11" customBuiltin="1"/>
    <cellStyle name="Texto explicativo" xfId="179" builtinId="53" customBuiltin="1"/>
    <cellStyle name="Título 2" xfId="180" builtinId="17" customBuiltin="1"/>
    <cellStyle name="Título 3" xfId="181" builtinId="18" customBuiltin="1"/>
    <cellStyle name="Título 4" xfId="182" xr:uid="{00000000-0005-0000-0000-0000B6000000}"/>
    <cellStyle name="Total" xfId="183"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7.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8.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8.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9.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8.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0.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2.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0.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3.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4.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5.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4.png"/></Relationships>
</file>

<file path=xl/drawings/_rels/drawing2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4.png"/></Relationships>
</file>

<file path=xl/drawings/_rels/drawing2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4.png"/></Relationships>
</file>

<file path=xl/drawings/_rels/drawing2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8.png"/></Relationships>
</file>

<file path=xl/drawings/_rels/drawing2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6.png"/></Relationships>
</file>

<file path=xl/drawings/_rels/drawing3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7.png"/></Relationships>
</file>

<file path=xl/drawings/_rels/drawing3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6.png"/></Relationships>
</file>

<file path=xl/drawings/_rels/drawing3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8.png"/></Relationships>
</file>

<file path=xl/drawings/_rels/drawing3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2.png"/></Relationships>
</file>

<file path=xl/drawings/_rels/drawing3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8.png"/></Relationships>
</file>

<file path=xl/drawings/_rels/drawing3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8.png"/></Relationships>
</file>

<file path=xl/drawings/_rels/drawing3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8.png"/></Relationships>
</file>

<file path=xl/drawings/_rels/drawing3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8.png"/></Relationships>
</file>

<file path=xl/drawings/_rels/drawing3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8.png"/></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8.png"/></Relationships>
</file>

<file path=xl/drawings/_rels/drawing4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8.png"/></Relationships>
</file>

<file path=xl/drawings/_rels/drawing4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8.png"/></Relationships>
</file>

<file path=xl/drawings/_rels/drawing4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8.png"/></Relationships>
</file>

<file path=xl/drawings/_rels/drawing4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9.png"/></Relationships>
</file>

<file path=xl/drawings/_rels/drawing4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20.png"/></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57150</xdr:colOff>
      <xdr:row>4</xdr:row>
      <xdr:rowOff>57150</xdr:rowOff>
    </xdr:to>
    <xdr:pic>
      <xdr:nvPicPr>
        <xdr:cNvPr id="1176" name="Imagen 2">
          <a:extLst>
            <a:ext uri="{FF2B5EF4-FFF2-40B4-BE49-F238E27FC236}">
              <a16:creationId xmlns:a16="http://schemas.microsoft.com/office/drawing/2014/main" id="{1E5AC2BF-574D-3FF6-8AC7-0E21638E2E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525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28575</xdr:colOff>
      <xdr:row>1</xdr:row>
      <xdr:rowOff>152400</xdr:rowOff>
    </xdr:from>
    <xdr:to>
      <xdr:col>6</xdr:col>
      <xdr:colOff>1562100</xdr:colOff>
      <xdr:row>2</xdr:row>
      <xdr:rowOff>819150</xdr:rowOff>
    </xdr:to>
    <xdr:pic>
      <xdr:nvPicPr>
        <xdr:cNvPr id="10544" name="Imagen 2">
          <a:extLst>
            <a:ext uri="{FF2B5EF4-FFF2-40B4-BE49-F238E27FC236}">
              <a16:creationId xmlns:a16="http://schemas.microsoft.com/office/drawing/2014/main" id="{2656847B-BB5D-8E3C-FDAF-85FE19E909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0" y="342900"/>
          <a:ext cx="15335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1171575</xdr:colOff>
      <xdr:row>2</xdr:row>
      <xdr:rowOff>171450</xdr:rowOff>
    </xdr:from>
    <xdr:to>
      <xdr:col>8</xdr:col>
      <xdr:colOff>771525</xdr:colOff>
      <xdr:row>2</xdr:row>
      <xdr:rowOff>361950</xdr:rowOff>
    </xdr:to>
    <xdr:pic>
      <xdr:nvPicPr>
        <xdr:cNvPr id="10545" name="Imagen 3">
          <a:extLst>
            <a:ext uri="{FF2B5EF4-FFF2-40B4-BE49-F238E27FC236}">
              <a16:creationId xmlns:a16="http://schemas.microsoft.com/office/drawing/2014/main" id="{B613E0A3-5819-E8F5-5AA5-7B5EADFE0A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67800" y="552450"/>
          <a:ext cx="4648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866775</xdr:colOff>
      <xdr:row>2</xdr:row>
      <xdr:rowOff>133350</xdr:rowOff>
    </xdr:to>
    <xdr:pic>
      <xdr:nvPicPr>
        <xdr:cNvPr id="11567" name="Imagen 2">
          <a:extLst>
            <a:ext uri="{FF2B5EF4-FFF2-40B4-BE49-F238E27FC236}">
              <a16:creationId xmlns:a16="http://schemas.microsoft.com/office/drawing/2014/main" id="{77736513-7A3D-4C6A-C92D-BFF0833C55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6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2</xdr:col>
      <xdr:colOff>323850</xdr:colOff>
      <xdr:row>2</xdr:row>
      <xdr:rowOff>19050</xdr:rowOff>
    </xdr:to>
    <xdr:pic>
      <xdr:nvPicPr>
        <xdr:cNvPr id="11568" name="Imagen 3">
          <a:extLst>
            <a:ext uri="{FF2B5EF4-FFF2-40B4-BE49-F238E27FC236}">
              <a16:creationId xmlns:a16="http://schemas.microsoft.com/office/drawing/2014/main" id="{7E1515E0-3C27-E963-1140-86FDD98B73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0500"/>
          <a:ext cx="46577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942975</xdr:colOff>
      <xdr:row>2</xdr:row>
      <xdr:rowOff>161925</xdr:rowOff>
    </xdr:to>
    <xdr:pic>
      <xdr:nvPicPr>
        <xdr:cNvPr id="12591" name="Imagen 4">
          <a:extLst>
            <a:ext uri="{FF2B5EF4-FFF2-40B4-BE49-F238E27FC236}">
              <a16:creationId xmlns:a16="http://schemas.microsoft.com/office/drawing/2014/main" id="{5740F6E3-6251-96A9-08A2-745AD0B48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47625"/>
          <a:ext cx="866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704850</xdr:colOff>
      <xdr:row>0</xdr:row>
      <xdr:rowOff>104775</xdr:rowOff>
    </xdr:from>
    <xdr:to>
      <xdr:col>2</xdr:col>
      <xdr:colOff>752475</xdr:colOff>
      <xdr:row>1</xdr:row>
      <xdr:rowOff>114300</xdr:rowOff>
    </xdr:to>
    <xdr:pic>
      <xdr:nvPicPr>
        <xdr:cNvPr id="12592" name="Imagen 5">
          <a:extLst>
            <a:ext uri="{FF2B5EF4-FFF2-40B4-BE49-F238E27FC236}">
              <a16:creationId xmlns:a16="http://schemas.microsoft.com/office/drawing/2014/main" id="{14FEC98B-D8DB-72C9-51AB-9670045138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04775"/>
          <a:ext cx="4657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750570</xdr:colOff>
      <xdr:row>14</xdr:row>
      <xdr:rowOff>45720</xdr:rowOff>
    </xdr:from>
    <xdr:ext cx="6695586" cy="493024"/>
    <xdr:sp macro="" textlink="">
      <xdr:nvSpPr>
        <xdr:cNvPr id="2" name="1 Rectángulo">
          <a:extLst>
            <a:ext uri="{FF2B5EF4-FFF2-40B4-BE49-F238E27FC236}">
              <a16:creationId xmlns:a16="http://schemas.microsoft.com/office/drawing/2014/main" id="{C1C83DB9-2FA1-93D0-4B1E-C9A9E9956CA9}"/>
            </a:ext>
          </a:extLst>
        </xdr:cNvPr>
        <xdr:cNvSpPr/>
      </xdr:nvSpPr>
      <xdr:spPr>
        <a:xfrm>
          <a:off x="769620" y="2964180"/>
          <a:ext cx="6705389" cy="483722"/>
        </a:xfrm>
        <a:prstGeom prst="rect">
          <a:avLst/>
        </a:prstGeom>
        <a:noFill/>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500" b="0" i="0" u="none" strike="noStrike" kern="0" cap="none" spc="0" normalizeH="0" baseline="0" noProof="0">
              <a:ln w="12700">
                <a:solidFill>
                  <a:srgbClr val="44546A">
                    <a:satMod val="155000"/>
                  </a:srgbClr>
                </a:solidFill>
                <a:prstDash val="solid"/>
              </a:ln>
              <a:solidFill>
                <a:sysClr val="windowText" lastClr="000000"/>
              </a:solidFill>
              <a:effectLst>
                <a:outerShdw blurRad="41275" dist="20320" dir="1800000" algn="tl" rotWithShape="0">
                  <a:srgbClr val="000000">
                    <a:alpha val="40000"/>
                  </a:srgbClr>
                </a:outerShdw>
              </a:effectLst>
              <a:uLnTx/>
              <a:uFillTx/>
            </a:rPr>
            <a:t>NO APLICA</a:t>
          </a:r>
        </a:p>
      </xdr:txBody>
    </xdr:sp>
    <xdr:clientData/>
  </xdr:oneCellAnchor>
  <xdr:oneCellAnchor>
    <xdr:from>
      <xdr:col>6</xdr:col>
      <xdr:colOff>150495</xdr:colOff>
      <xdr:row>13</xdr:row>
      <xdr:rowOff>30480</xdr:rowOff>
    </xdr:from>
    <xdr:ext cx="6695631" cy="493024"/>
    <xdr:sp macro="" textlink="">
      <xdr:nvSpPr>
        <xdr:cNvPr id="4" name="3 Rectángulo">
          <a:extLst>
            <a:ext uri="{FF2B5EF4-FFF2-40B4-BE49-F238E27FC236}">
              <a16:creationId xmlns:a16="http://schemas.microsoft.com/office/drawing/2014/main" id="{4A742C21-E5CD-276C-92B0-34E1288720F0}"/>
            </a:ext>
          </a:extLst>
        </xdr:cNvPr>
        <xdr:cNvSpPr/>
      </xdr:nvSpPr>
      <xdr:spPr>
        <a:xfrm>
          <a:off x="5905500" y="2766060"/>
          <a:ext cx="6705406" cy="483722"/>
        </a:xfrm>
        <a:prstGeom prst="rect">
          <a:avLst/>
        </a:prstGeom>
        <a:noFill/>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500" b="0" i="0" u="none" strike="noStrike" kern="0" cap="none" spc="0" normalizeH="0" baseline="0" noProof="0">
              <a:ln w="12700">
                <a:solidFill>
                  <a:srgbClr val="44546A">
                    <a:satMod val="155000"/>
                  </a:srgbClr>
                </a:solidFill>
                <a:prstDash val="solid"/>
              </a:ln>
              <a:solidFill>
                <a:sysClr val="windowText" lastClr="000000"/>
              </a:solidFill>
              <a:effectLst>
                <a:outerShdw blurRad="41275" dist="20320" dir="1800000" algn="tl" rotWithShape="0">
                  <a:srgbClr val="000000">
                    <a:alpha val="40000"/>
                  </a:srgbClr>
                </a:outerShdw>
              </a:effectLst>
              <a:uLnTx/>
              <a:uFillTx/>
            </a:rPr>
            <a:t>NO APLICA</a:t>
          </a:r>
        </a:p>
      </xdr:txBody>
    </xdr:sp>
    <xdr:clientData/>
  </xdr:oneCellAnchor>
  <xdr:twoCellAnchor editAs="oneCell">
    <xdr:from>
      <xdr:col>0</xdr:col>
      <xdr:colOff>0</xdr:colOff>
      <xdr:row>0</xdr:row>
      <xdr:rowOff>0</xdr:rowOff>
    </xdr:from>
    <xdr:to>
      <xdr:col>0</xdr:col>
      <xdr:colOff>866775</xdr:colOff>
      <xdr:row>2</xdr:row>
      <xdr:rowOff>114300</xdr:rowOff>
    </xdr:to>
    <xdr:pic>
      <xdr:nvPicPr>
        <xdr:cNvPr id="13919" name="Imagen 4">
          <a:extLst>
            <a:ext uri="{FF2B5EF4-FFF2-40B4-BE49-F238E27FC236}">
              <a16:creationId xmlns:a16="http://schemas.microsoft.com/office/drawing/2014/main" id="{52FC55FF-C27E-9BBD-756B-89194415BA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6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6</xdr:col>
      <xdr:colOff>19050</xdr:colOff>
      <xdr:row>2</xdr:row>
      <xdr:rowOff>9525</xdr:rowOff>
    </xdr:to>
    <xdr:pic>
      <xdr:nvPicPr>
        <xdr:cNvPr id="13920" name="Imagen 5">
          <a:extLst>
            <a:ext uri="{FF2B5EF4-FFF2-40B4-BE49-F238E27FC236}">
              <a16:creationId xmlns:a16="http://schemas.microsoft.com/office/drawing/2014/main" id="{FFE819FE-C5C5-0B7D-5F18-FAA016C4A3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2975" y="190500"/>
          <a:ext cx="4657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57150</xdr:colOff>
      <xdr:row>0</xdr:row>
      <xdr:rowOff>19050</xdr:rowOff>
    </xdr:from>
    <xdr:to>
      <xdr:col>0</xdr:col>
      <xdr:colOff>1276350</xdr:colOff>
      <xdr:row>3</xdr:row>
      <xdr:rowOff>142875</xdr:rowOff>
    </xdr:to>
    <xdr:pic>
      <xdr:nvPicPr>
        <xdr:cNvPr id="14639" name="Imagen 2">
          <a:extLst>
            <a:ext uri="{FF2B5EF4-FFF2-40B4-BE49-F238E27FC236}">
              <a16:creationId xmlns:a16="http://schemas.microsoft.com/office/drawing/2014/main" id="{F656AC0B-A148-058F-03BB-64EA64C70A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
          <a:ext cx="12192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1133475</xdr:colOff>
      <xdr:row>1</xdr:row>
      <xdr:rowOff>9525</xdr:rowOff>
    </xdr:from>
    <xdr:to>
      <xdr:col>5</xdr:col>
      <xdr:colOff>476250</xdr:colOff>
      <xdr:row>2</xdr:row>
      <xdr:rowOff>9525</xdr:rowOff>
    </xdr:to>
    <xdr:pic>
      <xdr:nvPicPr>
        <xdr:cNvPr id="14640" name="Imagen 3">
          <a:extLst>
            <a:ext uri="{FF2B5EF4-FFF2-40B4-BE49-F238E27FC236}">
              <a16:creationId xmlns:a16="http://schemas.microsoft.com/office/drawing/2014/main" id="{08F5644F-E4E6-DDE2-4616-E2ED30FD57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3475" y="200025"/>
          <a:ext cx="4629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0</xdr:col>
      <xdr:colOff>952500</xdr:colOff>
      <xdr:row>2</xdr:row>
      <xdr:rowOff>171450</xdr:rowOff>
    </xdr:to>
    <xdr:pic>
      <xdr:nvPicPr>
        <xdr:cNvPr id="15663" name="Imagen 3">
          <a:extLst>
            <a:ext uri="{FF2B5EF4-FFF2-40B4-BE49-F238E27FC236}">
              <a16:creationId xmlns:a16="http://schemas.microsoft.com/office/drawing/2014/main" id="{7B56E77B-D6D3-6461-FFB8-935ED28A42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866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0</xdr:row>
      <xdr:rowOff>123825</xdr:rowOff>
    </xdr:from>
    <xdr:to>
      <xdr:col>3</xdr:col>
      <xdr:colOff>171450</xdr:colOff>
      <xdr:row>1</xdr:row>
      <xdr:rowOff>133350</xdr:rowOff>
    </xdr:to>
    <xdr:pic>
      <xdr:nvPicPr>
        <xdr:cNvPr id="15664" name="Imagen 4">
          <a:extLst>
            <a:ext uri="{FF2B5EF4-FFF2-40B4-BE49-F238E27FC236}">
              <a16:creationId xmlns:a16="http://schemas.microsoft.com/office/drawing/2014/main" id="{D64AB76A-EA23-FE9C-B0E7-0E7BE6945A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0" y="123825"/>
          <a:ext cx="46196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9525</xdr:rowOff>
    </xdr:from>
    <xdr:to>
      <xdr:col>0</xdr:col>
      <xdr:colOff>971550</xdr:colOff>
      <xdr:row>2</xdr:row>
      <xdr:rowOff>123825</xdr:rowOff>
    </xdr:to>
    <xdr:pic>
      <xdr:nvPicPr>
        <xdr:cNvPr id="16687" name="Imagen 2">
          <a:extLst>
            <a:ext uri="{FF2B5EF4-FFF2-40B4-BE49-F238E27FC236}">
              <a16:creationId xmlns:a16="http://schemas.microsoft.com/office/drawing/2014/main" id="{0A9B29A8-E835-52A4-5049-86C38A56BF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9525"/>
          <a:ext cx="876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133350</xdr:rowOff>
    </xdr:from>
    <xdr:to>
      <xdr:col>2</xdr:col>
      <xdr:colOff>1390650</xdr:colOff>
      <xdr:row>1</xdr:row>
      <xdr:rowOff>142875</xdr:rowOff>
    </xdr:to>
    <xdr:pic>
      <xdr:nvPicPr>
        <xdr:cNvPr id="16688" name="Imagen 3">
          <a:extLst>
            <a:ext uri="{FF2B5EF4-FFF2-40B4-BE49-F238E27FC236}">
              <a16:creationId xmlns:a16="http://schemas.microsoft.com/office/drawing/2014/main" id="{C19A043C-6EE0-E25C-535F-FC4ADB508E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133350"/>
          <a:ext cx="4676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85725</xdr:colOff>
      <xdr:row>0</xdr:row>
      <xdr:rowOff>133350</xdr:rowOff>
    </xdr:from>
    <xdr:to>
      <xdr:col>0</xdr:col>
      <xdr:colOff>952500</xdr:colOff>
      <xdr:row>3</xdr:row>
      <xdr:rowOff>66675</xdr:rowOff>
    </xdr:to>
    <xdr:pic>
      <xdr:nvPicPr>
        <xdr:cNvPr id="17711" name="Imagen 3">
          <a:extLst>
            <a:ext uri="{FF2B5EF4-FFF2-40B4-BE49-F238E27FC236}">
              <a16:creationId xmlns:a16="http://schemas.microsoft.com/office/drawing/2014/main" id="{712D7679-1A1F-4DC6-37F4-C27A309624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33350"/>
          <a:ext cx="8667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76200</xdr:rowOff>
    </xdr:from>
    <xdr:to>
      <xdr:col>3</xdr:col>
      <xdr:colOff>733425</xdr:colOff>
      <xdr:row>2</xdr:row>
      <xdr:rowOff>85725</xdr:rowOff>
    </xdr:to>
    <xdr:pic>
      <xdr:nvPicPr>
        <xdr:cNvPr id="17712" name="Imagen 4">
          <a:extLst>
            <a:ext uri="{FF2B5EF4-FFF2-40B4-BE49-F238E27FC236}">
              <a16:creationId xmlns:a16="http://schemas.microsoft.com/office/drawing/2014/main" id="{4515DC3B-12E5-C963-75EA-EAED25EAFB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66700"/>
          <a:ext cx="4676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123825</xdr:colOff>
      <xdr:row>0</xdr:row>
      <xdr:rowOff>28575</xdr:rowOff>
    </xdr:from>
    <xdr:to>
      <xdr:col>0</xdr:col>
      <xdr:colOff>990600</xdr:colOff>
      <xdr:row>2</xdr:row>
      <xdr:rowOff>152400</xdr:rowOff>
    </xdr:to>
    <xdr:pic>
      <xdr:nvPicPr>
        <xdr:cNvPr id="18735" name="Imagen 2">
          <a:extLst>
            <a:ext uri="{FF2B5EF4-FFF2-40B4-BE49-F238E27FC236}">
              <a16:creationId xmlns:a16="http://schemas.microsoft.com/office/drawing/2014/main" id="{E34A1750-B115-CBA9-5760-AB43ACB91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28575"/>
          <a:ext cx="8667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161925</xdr:rowOff>
    </xdr:from>
    <xdr:to>
      <xdr:col>2</xdr:col>
      <xdr:colOff>704850</xdr:colOff>
      <xdr:row>1</xdr:row>
      <xdr:rowOff>171450</xdr:rowOff>
    </xdr:to>
    <xdr:pic>
      <xdr:nvPicPr>
        <xdr:cNvPr id="18736" name="Imagen 3">
          <a:extLst>
            <a:ext uri="{FF2B5EF4-FFF2-40B4-BE49-F238E27FC236}">
              <a16:creationId xmlns:a16="http://schemas.microsoft.com/office/drawing/2014/main" id="{50041517-5BCC-674E-AC5C-996111C934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61925"/>
          <a:ext cx="4667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95250</xdr:colOff>
      <xdr:row>0</xdr:row>
      <xdr:rowOff>38100</xdr:rowOff>
    </xdr:from>
    <xdr:to>
      <xdr:col>0</xdr:col>
      <xdr:colOff>962025</xdr:colOff>
      <xdr:row>2</xdr:row>
      <xdr:rowOff>142875</xdr:rowOff>
    </xdr:to>
    <xdr:pic>
      <xdr:nvPicPr>
        <xdr:cNvPr id="19759" name="Imagen 6">
          <a:extLst>
            <a:ext uri="{FF2B5EF4-FFF2-40B4-BE49-F238E27FC236}">
              <a16:creationId xmlns:a16="http://schemas.microsoft.com/office/drawing/2014/main" id="{E18B5D1B-5F6E-FE87-DCC6-937820333F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38100"/>
          <a:ext cx="866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133350</xdr:rowOff>
    </xdr:from>
    <xdr:to>
      <xdr:col>3</xdr:col>
      <xdr:colOff>95250</xdr:colOff>
      <xdr:row>1</xdr:row>
      <xdr:rowOff>133350</xdr:rowOff>
    </xdr:to>
    <xdr:pic>
      <xdr:nvPicPr>
        <xdr:cNvPr id="19760" name="Imagen 7">
          <a:extLst>
            <a:ext uri="{FF2B5EF4-FFF2-40B4-BE49-F238E27FC236}">
              <a16:creationId xmlns:a16="http://schemas.microsoft.com/office/drawing/2014/main" id="{CB1A0ACD-138E-925A-38BA-3216D266F7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133350"/>
          <a:ext cx="4648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1</xdr:row>
      <xdr:rowOff>0</xdr:rowOff>
    </xdr:from>
    <xdr:to>
      <xdr:col>3</xdr:col>
      <xdr:colOff>1409700</xdr:colOff>
      <xdr:row>7</xdr:row>
      <xdr:rowOff>38100</xdr:rowOff>
    </xdr:to>
    <xdr:pic>
      <xdr:nvPicPr>
        <xdr:cNvPr id="2354" name="Imagen 3">
          <a:extLst>
            <a:ext uri="{FF2B5EF4-FFF2-40B4-BE49-F238E27FC236}">
              <a16:creationId xmlns:a16="http://schemas.microsoft.com/office/drawing/2014/main" id="{A855B558-17A6-534A-CD6D-3249C775BC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190500"/>
          <a:ext cx="15430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914400</xdr:colOff>
      <xdr:row>2</xdr:row>
      <xdr:rowOff>95250</xdr:rowOff>
    </xdr:from>
    <xdr:to>
      <xdr:col>5</xdr:col>
      <xdr:colOff>1438275</xdr:colOff>
      <xdr:row>4</xdr:row>
      <xdr:rowOff>28575</xdr:rowOff>
    </xdr:to>
    <xdr:pic>
      <xdr:nvPicPr>
        <xdr:cNvPr id="2355" name="Imagen 4">
          <a:extLst>
            <a:ext uri="{FF2B5EF4-FFF2-40B4-BE49-F238E27FC236}">
              <a16:creationId xmlns:a16="http://schemas.microsoft.com/office/drawing/2014/main" id="{4273FF63-8464-C7E5-3DE1-F6CF00C41F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4475" y="428625"/>
          <a:ext cx="4667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0</xdr:col>
      <xdr:colOff>1152525</xdr:colOff>
      <xdr:row>3</xdr:row>
      <xdr:rowOff>95250</xdr:rowOff>
    </xdr:to>
    <xdr:pic>
      <xdr:nvPicPr>
        <xdr:cNvPr id="20783" name="Imagen 2">
          <a:extLst>
            <a:ext uri="{FF2B5EF4-FFF2-40B4-BE49-F238E27FC236}">
              <a16:creationId xmlns:a16="http://schemas.microsoft.com/office/drawing/2014/main" id="{4BCB56A8-A9B5-7F2D-C3A8-2D36DA36A1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38100"/>
          <a:ext cx="10953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1</xdr:row>
      <xdr:rowOff>9525</xdr:rowOff>
    </xdr:from>
    <xdr:to>
      <xdr:col>2</xdr:col>
      <xdr:colOff>619125</xdr:colOff>
      <xdr:row>2</xdr:row>
      <xdr:rowOff>19050</xdr:rowOff>
    </xdr:to>
    <xdr:pic>
      <xdr:nvPicPr>
        <xdr:cNvPr id="20784" name="Imagen 3">
          <a:extLst>
            <a:ext uri="{FF2B5EF4-FFF2-40B4-BE49-F238E27FC236}">
              <a16:creationId xmlns:a16="http://schemas.microsoft.com/office/drawing/2014/main" id="{C1DF2E8D-D6EC-6CB6-F5B8-B51DF327E1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200025"/>
          <a:ext cx="4667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933450</xdr:colOff>
      <xdr:row>2</xdr:row>
      <xdr:rowOff>161925</xdr:rowOff>
    </xdr:to>
    <xdr:pic>
      <xdr:nvPicPr>
        <xdr:cNvPr id="21807" name="Imagen 2">
          <a:extLst>
            <a:ext uri="{FF2B5EF4-FFF2-40B4-BE49-F238E27FC236}">
              <a16:creationId xmlns:a16="http://schemas.microsoft.com/office/drawing/2014/main" id="{70878FE4-9181-6B50-AD0E-33D4C887A4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876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1</xdr:row>
      <xdr:rowOff>9525</xdr:rowOff>
    </xdr:from>
    <xdr:to>
      <xdr:col>2</xdr:col>
      <xdr:colOff>0</xdr:colOff>
      <xdr:row>2</xdr:row>
      <xdr:rowOff>19050</xdr:rowOff>
    </xdr:to>
    <xdr:pic>
      <xdr:nvPicPr>
        <xdr:cNvPr id="21808" name="Imagen 3">
          <a:extLst>
            <a:ext uri="{FF2B5EF4-FFF2-40B4-BE49-F238E27FC236}">
              <a16:creationId xmlns:a16="http://schemas.microsoft.com/office/drawing/2014/main" id="{1DEF0A8F-76E5-B4DA-59F9-ABD434BF75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200025"/>
          <a:ext cx="4676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57150</xdr:colOff>
      <xdr:row>0</xdr:row>
      <xdr:rowOff>114300</xdr:rowOff>
    </xdr:from>
    <xdr:to>
      <xdr:col>0</xdr:col>
      <xdr:colOff>1066800</xdr:colOff>
      <xdr:row>3</xdr:row>
      <xdr:rowOff>133350</xdr:rowOff>
    </xdr:to>
    <xdr:pic>
      <xdr:nvPicPr>
        <xdr:cNvPr id="22831" name="Imagen 2">
          <a:extLst>
            <a:ext uri="{FF2B5EF4-FFF2-40B4-BE49-F238E27FC236}">
              <a16:creationId xmlns:a16="http://schemas.microsoft.com/office/drawing/2014/main" id="{561A6F12-FF6A-0C57-13DE-FA10E8D8D4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14300"/>
          <a:ext cx="10096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1</xdr:row>
      <xdr:rowOff>95250</xdr:rowOff>
    </xdr:from>
    <xdr:to>
      <xdr:col>1</xdr:col>
      <xdr:colOff>1343025</xdr:colOff>
      <xdr:row>2</xdr:row>
      <xdr:rowOff>95250</xdr:rowOff>
    </xdr:to>
    <xdr:pic>
      <xdr:nvPicPr>
        <xdr:cNvPr id="22832" name="Imagen 3">
          <a:extLst>
            <a:ext uri="{FF2B5EF4-FFF2-40B4-BE49-F238E27FC236}">
              <a16:creationId xmlns:a16="http://schemas.microsoft.com/office/drawing/2014/main" id="{A741ACF8-3769-6D21-E44C-455B9579EC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285750"/>
          <a:ext cx="4695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895350</xdr:colOff>
      <xdr:row>2</xdr:row>
      <xdr:rowOff>152400</xdr:rowOff>
    </xdr:to>
    <xdr:pic>
      <xdr:nvPicPr>
        <xdr:cNvPr id="23855" name="Imagen 2">
          <a:extLst>
            <a:ext uri="{FF2B5EF4-FFF2-40B4-BE49-F238E27FC236}">
              <a16:creationId xmlns:a16="http://schemas.microsoft.com/office/drawing/2014/main" id="{7A822666-BAE3-493F-EFF6-C0FAAE7FC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857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2</xdr:col>
      <xdr:colOff>1143000</xdr:colOff>
      <xdr:row>2</xdr:row>
      <xdr:rowOff>9525</xdr:rowOff>
    </xdr:to>
    <xdr:pic>
      <xdr:nvPicPr>
        <xdr:cNvPr id="23856" name="Imagen 3">
          <a:extLst>
            <a:ext uri="{FF2B5EF4-FFF2-40B4-BE49-F238E27FC236}">
              <a16:creationId xmlns:a16="http://schemas.microsoft.com/office/drawing/2014/main" id="{58EEB6B5-0CF3-6AC4-4F1E-8D345D9FB3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0500"/>
          <a:ext cx="4676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828675</xdr:colOff>
      <xdr:row>0</xdr:row>
      <xdr:rowOff>161925</xdr:rowOff>
    </xdr:from>
    <xdr:to>
      <xdr:col>4</xdr:col>
      <xdr:colOff>1885950</xdr:colOff>
      <xdr:row>4</xdr:row>
      <xdr:rowOff>19050</xdr:rowOff>
    </xdr:to>
    <xdr:pic>
      <xdr:nvPicPr>
        <xdr:cNvPr id="24879" name="Imagen 2">
          <a:extLst>
            <a:ext uri="{FF2B5EF4-FFF2-40B4-BE49-F238E27FC236}">
              <a16:creationId xmlns:a16="http://schemas.microsoft.com/office/drawing/2014/main" id="{07B46CB2-2F7C-D6FA-6F8F-2D5465BCAA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38925" y="161925"/>
          <a:ext cx="10572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885825</xdr:colOff>
      <xdr:row>1</xdr:row>
      <xdr:rowOff>171450</xdr:rowOff>
    </xdr:from>
    <xdr:to>
      <xdr:col>6</xdr:col>
      <xdr:colOff>952500</xdr:colOff>
      <xdr:row>3</xdr:row>
      <xdr:rowOff>0</xdr:rowOff>
    </xdr:to>
    <xdr:pic>
      <xdr:nvPicPr>
        <xdr:cNvPr id="24880" name="Imagen 3">
          <a:extLst>
            <a:ext uri="{FF2B5EF4-FFF2-40B4-BE49-F238E27FC236}">
              <a16:creationId xmlns:a16="http://schemas.microsoft.com/office/drawing/2014/main" id="{9522F652-A8DF-45D3-59E8-5AE8F72C0D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6075" y="361950"/>
          <a:ext cx="4657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76200</xdr:colOff>
      <xdr:row>0</xdr:row>
      <xdr:rowOff>19050</xdr:rowOff>
    </xdr:from>
    <xdr:to>
      <xdr:col>0</xdr:col>
      <xdr:colOff>933450</xdr:colOff>
      <xdr:row>2</xdr:row>
      <xdr:rowOff>133350</xdr:rowOff>
    </xdr:to>
    <xdr:pic>
      <xdr:nvPicPr>
        <xdr:cNvPr id="25903" name="Imagen 2">
          <a:extLst>
            <a:ext uri="{FF2B5EF4-FFF2-40B4-BE49-F238E27FC236}">
              <a16:creationId xmlns:a16="http://schemas.microsoft.com/office/drawing/2014/main" id="{4319DD9E-6E8F-A161-0273-DFC49E8310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9050"/>
          <a:ext cx="857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114300</xdr:rowOff>
    </xdr:from>
    <xdr:to>
      <xdr:col>2</xdr:col>
      <xdr:colOff>838200</xdr:colOff>
      <xdr:row>1</xdr:row>
      <xdr:rowOff>123825</xdr:rowOff>
    </xdr:to>
    <xdr:pic>
      <xdr:nvPicPr>
        <xdr:cNvPr id="25904" name="Imagen 3">
          <a:extLst>
            <a:ext uri="{FF2B5EF4-FFF2-40B4-BE49-F238E27FC236}">
              <a16:creationId xmlns:a16="http://schemas.microsoft.com/office/drawing/2014/main" id="{7FE9C3E4-7281-6435-866B-953784CA84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14300"/>
          <a:ext cx="46863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47625</xdr:colOff>
      <xdr:row>8</xdr:row>
      <xdr:rowOff>28575</xdr:rowOff>
    </xdr:from>
    <xdr:to>
      <xdr:col>8</xdr:col>
      <xdr:colOff>83822</xdr:colOff>
      <xdr:row>11</xdr:row>
      <xdr:rowOff>83820</xdr:rowOff>
    </xdr:to>
    <xdr:sp macro="" textlink="">
      <xdr:nvSpPr>
        <xdr:cNvPr id="2" name="CuadroTexto 1">
          <a:extLst>
            <a:ext uri="{FF2B5EF4-FFF2-40B4-BE49-F238E27FC236}">
              <a16:creationId xmlns:a16="http://schemas.microsoft.com/office/drawing/2014/main" id="{0256053E-4541-70C0-C6D8-0BF013DE538A}"/>
            </a:ext>
          </a:extLst>
        </xdr:cNvPr>
        <xdr:cNvSpPr txBox="1"/>
      </xdr:nvSpPr>
      <xdr:spPr>
        <a:xfrm>
          <a:off x="47625" y="1491615"/>
          <a:ext cx="8138160" cy="7486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PY" sz="1100">
              <a:solidFill>
                <a:schemeClr val="dk1"/>
              </a:solidFill>
              <a:effectLst/>
              <a:latin typeface="+mn-lt"/>
              <a:ea typeface="+mn-ea"/>
              <a:cs typeface="+mn-cs"/>
            </a:rPr>
            <a:t>A partir del año 2020 los bienes de uso son revaluados en base a lo establecido por las nuevas disposiciones de la Subsecretaría de Estado de Tributación, que establece como mínimo un índice de inflación acumulado del 20% desde el último revalúo para proceder a revaluar los bienes de uso, estableciendo al mismo tiempo el valor residual que debe tener cada bien conforme a su clasificación..</a:t>
          </a:r>
          <a:endParaRPr lang="en-US">
            <a:effectLst/>
          </a:endParaRPr>
        </a:p>
      </xdr:txBody>
    </xdr:sp>
    <xdr:clientData/>
  </xdr:twoCellAnchor>
  <xdr:twoCellAnchor>
    <xdr:from>
      <xdr:col>0</xdr:col>
      <xdr:colOff>47625</xdr:colOff>
      <xdr:row>13</xdr:row>
      <xdr:rowOff>38100</xdr:rowOff>
    </xdr:from>
    <xdr:to>
      <xdr:col>8</xdr:col>
      <xdr:colOff>83822</xdr:colOff>
      <xdr:row>16</xdr:row>
      <xdr:rowOff>108643</xdr:rowOff>
    </xdr:to>
    <xdr:sp macro="" textlink="">
      <xdr:nvSpPr>
        <xdr:cNvPr id="3" name="CuadroTexto 2">
          <a:extLst>
            <a:ext uri="{FF2B5EF4-FFF2-40B4-BE49-F238E27FC236}">
              <a16:creationId xmlns:a16="http://schemas.microsoft.com/office/drawing/2014/main" id="{7E7A424E-0CAE-D9B6-D027-0187A9151E13}"/>
            </a:ext>
          </a:extLst>
        </xdr:cNvPr>
        <xdr:cNvSpPr txBox="1"/>
      </xdr:nvSpPr>
      <xdr:spPr>
        <a:xfrm>
          <a:off x="47625" y="2651760"/>
          <a:ext cx="813816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es-ES" sz="1100">
              <a:solidFill>
                <a:schemeClr val="dk1"/>
              </a:solidFill>
              <a:effectLst/>
              <a:latin typeface="+mn-lt"/>
              <a:ea typeface="+mn-ea"/>
              <a:cs typeface="+mn-cs"/>
            </a:rPr>
            <a:t>La legislación paraguaya establece una transferencia del 5% de las utilidades del ejercicio para la constitución de una Reserva Legal hasta completar el 20% del Capital Integrado, la Sociedad adopta por política constituir</a:t>
          </a:r>
          <a:r>
            <a:rPr lang="es-ES" sz="1100" baseline="0">
              <a:solidFill>
                <a:schemeClr val="dk1"/>
              </a:solidFill>
              <a:effectLst/>
              <a:latin typeface="+mn-lt"/>
              <a:ea typeface="+mn-ea"/>
              <a:cs typeface="+mn-cs"/>
            </a:rPr>
            <a:t> la reserva legal luego de la realización de la Asamblea General</a:t>
          </a:r>
          <a:r>
            <a:rPr lang="es-ES" sz="1100">
              <a:solidFill>
                <a:schemeClr val="dk1"/>
              </a:solidFill>
              <a:effectLst/>
              <a:latin typeface="+mn-lt"/>
              <a:ea typeface="+mn-ea"/>
              <a:cs typeface="+mn-cs"/>
            </a:rPr>
            <a:t>.</a:t>
          </a:r>
          <a:endParaRPr lang="en-US">
            <a:effectLst/>
          </a:endParaRPr>
        </a:p>
        <a:p>
          <a:pPr>
            <a:lnSpc>
              <a:spcPts val="1400"/>
            </a:lnSpc>
          </a:pPr>
          <a:endParaRPr lang="es-PY" sz="1100"/>
        </a:p>
      </xdr:txBody>
    </xdr:sp>
    <xdr:clientData/>
  </xdr:twoCellAnchor>
  <xdr:twoCellAnchor>
    <xdr:from>
      <xdr:col>0</xdr:col>
      <xdr:colOff>47625</xdr:colOff>
      <xdr:row>21</xdr:row>
      <xdr:rowOff>85725</xdr:rowOff>
    </xdr:from>
    <xdr:to>
      <xdr:col>8</xdr:col>
      <xdr:colOff>83822</xdr:colOff>
      <xdr:row>24</xdr:row>
      <xdr:rowOff>38100</xdr:rowOff>
    </xdr:to>
    <xdr:sp macro="" textlink="">
      <xdr:nvSpPr>
        <xdr:cNvPr id="5" name="CuadroTexto 4">
          <a:extLst>
            <a:ext uri="{FF2B5EF4-FFF2-40B4-BE49-F238E27FC236}">
              <a16:creationId xmlns:a16="http://schemas.microsoft.com/office/drawing/2014/main" id="{04324E0A-4C7C-A348-72EF-57AA142C17D5}"/>
            </a:ext>
          </a:extLst>
        </xdr:cNvPr>
        <xdr:cNvSpPr txBox="1"/>
      </xdr:nvSpPr>
      <xdr:spPr>
        <a:xfrm>
          <a:off x="47625" y="4291965"/>
          <a:ext cx="8061960" cy="50101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Y" sz="1100"/>
        </a:p>
        <a:p>
          <a:endParaRPr lang="es-PY" sz="1100"/>
        </a:p>
      </xdr:txBody>
    </xdr:sp>
    <xdr:clientData/>
  </xdr:twoCellAnchor>
  <xdr:twoCellAnchor>
    <xdr:from>
      <xdr:col>0</xdr:col>
      <xdr:colOff>47625</xdr:colOff>
      <xdr:row>25</xdr:row>
      <xdr:rowOff>28575</xdr:rowOff>
    </xdr:from>
    <xdr:to>
      <xdr:col>8</xdr:col>
      <xdr:colOff>83822</xdr:colOff>
      <xdr:row>27</xdr:row>
      <xdr:rowOff>163858</xdr:rowOff>
    </xdr:to>
    <xdr:sp macro="" textlink="">
      <xdr:nvSpPr>
        <xdr:cNvPr id="7" name="CuadroTexto 6">
          <a:extLst>
            <a:ext uri="{FF2B5EF4-FFF2-40B4-BE49-F238E27FC236}">
              <a16:creationId xmlns:a16="http://schemas.microsoft.com/office/drawing/2014/main" id="{7743D24F-9761-EA16-2B2D-CF8F3001FC50}"/>
            </a:ext>
          </a:extLst>
        </xdr:cNvPr>
        <xdr:cNvSpPr txBox="1"/>
      </xdr:nvSpPr>
      <xdr:spPr>
        <a:xfrm>
          <a:off x="47625" y="2954655"/>
          <a:ext cx="8138160" cy="5086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Y"/>
        </a:p>
      </xdr:txBody>
    </xdr:sp>
    <xdr:clientData/>
  </xdr:twoCellAnchor>
  <xdr:twoCellAnchor editAs="oneCell">
    <xdr:from>
      <xdr:col>0</xdr:col>
      <xdr:colOff>85725</xdr:colOff>
      <xdr:row>0</xdr:row>
      <xdr:rowOff>38100</xdr:rowOff>
    </xdr:from>
    <xdr:to>
      <xdr:col>0</xdr:col>
      <xdr:colOff>942975</xdr:colOff>
      <xdr:row>2</xdr:row>
      <xdr:rowOff>152400</xdr:rowOff>
    </xdr:to>
    <xdr:pic>
      <xdr:nvPicPr>
        <xdr:cNvPr id="27535" name="Imagen 8">
          <a:extLst>
            <a:ext uri="{FF2B5EF4-FFF2-40B4-BE49-F238E27FC236}">
              <a16:creationId xmlns:a16="http://schemas.microsoft.com/office/drawing/2014/main" id="{DBB5D8EB-2A9A-E0B4-A9F9-B5EC17B065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38100"/>
          <a:ext cx="857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171450</xdr:rowOff>
    </xdr:from>
    <xdr:to>
      <xdr:col>3</xdr:col>
      <xdr:colOff>762000</xdr:colOff>
      <xdr:row>2</xdr:row>
      <xdr:rowOff>0</xdr:rowOff>
    </xdr:to>
    <xdr:pic>
      <xdr:nvPicPr>
        <xdr:cNvPr id="27536" name="Imagen 9">
          <a:extLst>
            <a:ext uri="{FF2B5EF4-FFF2-40B4-BE49-F238E27FC236}">
              <a16:creationId xmlns:a16="http://schemas.microsoft.com/office/drawing/2014/main" id="{F13AE789-33E7-D74D-626A-53AE21897A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171450"/>
          <a:ext cx="4667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895350</xdr:colOff>
      <xdr:row>2</xdr:row>
      <xdr:rowOff>152400</xdr:rowOff>
    </xdr:to>
    <xdr:pic>
      <xdr:nvPicPr>
        <xdr:cNvPr id="27951" name="Imagen 2">
          <a:extLst>
            <a:ext uri="{FF2B5EF4-FFF2-40B4-BE49-F238E27FC236}">
              <a16:creationId xmlns:a16="http://schemas.microsoft.com/office/drawing/2014/main" id="{A07C13C6-0B01-2942-8677-415B8C10DB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857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2</xdr:col>
      <xdr:colOff>1123950</xdr:colOff>
      <xdr:row>2</xdr:row>
      <xdr:rowOff>9525</xdr:rowOff>
    </xdr:to>
    <xdr:pic>
      <xdr:nvPicPr>
        <xdr:cNvPr id="27952" name="Imagen 3">
          <a:extLst>
            <a:ext uri="{FF2B5EF4-FFF2-40B4-BE49-F238E27FC236}">
              <a16:creationId xmlns:a16="http://schemas.microsoft.com/office/drawing/2014/main" id="{6D432B4E-777A-AF08-550F-89C122A783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0500"/>
          <a:ext cx="4676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133350</xdr:colOff>
      <xdr:row>0</xdr:row>
      <xdr:rowOff>38100</xdr:rowOff>
    </xdr:from>
    <xdr:to>
      <xdr:col>0</xdr:col>
      <xdr:colOff>1000125</xdr:colOff>
      <xdr:row>2</xdr:row>
      <xdr:rowOff>152400</xdr:rowOff>
    </xdr:to>
    <xdr:pic>
      <xdr:nvPicPr>
        <xdr:cNvPr id="28975" name="Imagen 2">
          <a:extLst>
            <a:ext uri="{FF2B5EF4-FFF2-40B4-BE49-F238E27FC236}">
              <a16:creationId xmlns:a16="http://schemas.microsoft.com/office/drawing/2014/main" id="{610D1ED2-2526-595B-81D0-A4BDFE3863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38100"/>
          <a:ext cx="866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209550</xdr:colOff>
      <xdr:row>0</xdr:row>
      <xdr:rowOff>133350</xdr:rowOff>
    </xdr:from>
    <xdr:to>
      <xdr:col>2</xdr:col>
      <xdr:colOff>895350</xdr:colOff>
      <xdr:row>1</xdr:row>
      <xdr:rowOff>142875</xdr:rowOff>
    </xdr:to>
    <xdr:pic>
      <xdr:nvPicPr>
        <xdr:cNvPr id="28976" name="Imagen 3">
          <a:extLst>
            <a:ext uri="{FF2B5EF4-FFF2-40B4-BE49-F238E27FC236}">
              <a16:creationId xmlns:a16="http://schemas.microsoft.com/office/drawing/2014/main" id="{A1764A97-BFA3-15CA-AA5B-542A5E6889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33350"/>
          <a:ext cx="4667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76200</xdr:colOff>
      <xdr:row>0</xdr:row>
      <xdr:rowOff>28575</xdr:rowOff>
    </xdr:from>
    <xdr:to>
      <xdr:col>0</xdr:col>
      <xdr:colOff>942975</xdr:colOff>
      <xdr:row>2</xdr:row>
      <xdr:rowOff>142875</xdr:rowOff>
    </xdr:to>
    <xdr:pic>
      <xdr:nvPicPr>
        <xdr:cNvPr id="29999" name="Imagen 2">
          <a:extLst>
            <a:ext uri="{FF2B5EF4-FFF2-40B4-BE49-F238E27FC236}">
              <a16:creationId xmlns:a16="http://schemas.microsoft.com/office/drawing/2014/main" id="{FB4F8741-C2A7-4A6E-B5AF-F3653733BA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8575"/>
          <a:ext cx="8667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2</xdr:col>
      <xdr:colOff>1238250</xdr:colOff>
      <xdr:row>2</xdr:row>
      <xdr:rowOff>9525</xdr:rowOff>
    </xdr:to>
    <xdr:pic>
      <xdr:nvPicPr>
        <xdr:cNvPr id="30000" name="Imagen 3">
          <a:extLst>
            <a:ext uri="{FF2B5EF4-FFF2-40B4-BE49-F238E27FC236}">
              <a16:creationId xmlns:a16="http://schemas.microsoft.com/office/drawing/2014/main" id="{8BCCF085-5268-4A56-DA6A-ECE0E0D622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0500"/>
          <a:ext cx="46863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276225</xdr:colOff>
      <xdr:row>1</xdr:row>
      <xdr:rowOff>133350</xdr:rowOff>
    </xdr:from>
    <xdr:to>
      <xdr:col>0</xdr:col>
      <xdr:colOff>1809750</xdr:colOff>
      <xdr:row>6</xdr:row>
      <xdr:rowOff>152400</xdr:rowOff>
    </xdr:to>
    <xdr:pic>
      <xdr:nvPicPr>
        <xdr:cNvPr id="3375" name="Imagen 2">
          <a:extLst>
            <a:ext uri="{FF2B5EF4-FFF2-40B4-BE49-F238E27FC236}">
              <a16:creationId xmlns:a16="http://schemas.microsoft.com/office/drawing/2014/main" id="{7CD77095-375E-4D1E-9EA8-8CDCDF272B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323850"/>
          <a:ext cx="15335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1428750</xdr:colOff>
      <xdr:row>3</xdr:row>
      <xdr:rowOff>66675</xdr:rowOff>
    </xdr:from>
    <xdr:to>
      <xdr:col>2</xdr:col>
      <xdr:colOff>1390650</xdr:colOff>
      <xdr:row>4</xdr:row>
      <xdr:rowOff>95250</xdr:rowOff>
    </xdr:to>
    <xdr:pic>
      <xdr:nvPicPr>
        <xdr:cNvPr id="3376" name="Imagen 4">
          <a:extLst>
            <a:ext uri="{FF2B5EF4-FFF2-40B4-BE49-F238E27FC236}">
              <a16:creationId xmlns:a16="http://schemas.microsoft.com/office/drawing/2014/main" id="{AA092E7B-FD51-1715-4902-5D86FA0D77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0" y="581025"/>
          <a:ext cx="4657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0</xdr:col>
      <xdr:colOff>1066800</xdr:colOff>
      <xdr:row>3</xdr:row>
      <xdr:rowOff>114300</xdr:rowOff>
    </xdr:to>
    <xdr:pic>
      <xdr:nvPicPr>
        <xdr:cNvPr id="31023" name="Imagen 2">
          <a:extLst>
            <a:ext uri="{FF2B5EF4-FFF2-40B4-BE49-F238E27FC236}">
              <a16:creationId xmlns:a16="http://schemas.microsoft.com/office/drawing/2014/main" id="{95A45967-857B-379A-07FE-1148335160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6675"/>
          <a:ext cx="1066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1</xdr:row>
      <xdr:rowOff>57150</xdr:rowOff>
    </xdr:from>
    <xdr:to>
      <xdr:col>2</xdr:col>
      <xdr:colOff>857250</xdr:colOff>
      <xdr:row>2</xdr:row>
      <xdr:rowOff>57150</xdr:rowOff>
    </xdr:to>
    <xdr:pic>
      <xdr:nvPicPr>
        <xdr:cNvPr id="31024" name="Imagen 3">
          <a:extLst>
            <a:ext uri="{FF2B5EF4-FFF2-40B4-BE49-F238E27FC236}">
              <a16:creationId xmlns:a16="http://schemas.microsoft.com/office/drawing/2014/main" id="{1107B585-5AE0-5D49-3597-C33D2F1F2F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247650"/>
          <a:ext cx="4676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76200</xdr:colOff>
      <xdr:row>0</xdr:row>
      <xdr:rowOff>95250</xdr:rowOff>
    </xdr:from>
    <xdr:to>
      <xdr:col>0</xdr:col>
      <xdr:colOff>1143000</xdr:colOff>
      <xdr:row>3</xdr:row>
      <xdr:rowOff>133350</xdr:rowOff>
    </xdr:to>
    <xdr:pic>
      <xdr:nvPicPr>
        <xdr:cNvPr id="32061" name="Imagen 2">
          <a:extLst>
            <a:ext uri="{FF2B5EF4-FFF2-40B4-BE49-F238E27FC236}">
              <a16:creationId xmlns:a16="http://schemas.microsoft.com/office/drawing/2014/main" id="{19786697-7802-D797-DB8F-78FCA0A1E3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95250"/>
          <a:ext cx="10668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1</xdr:row>
      <xdr:rowOff>57150</xdr:rowOff>
    </xdr:from>
    <xdr:to>
      <xdr:col>2</xdr:col>
      <xdr:colOff>1009650</xdr:colOff>
      <xdr:row>2</xdr:row>
      <xdr:rowOff>66675</xdr:rowOff>
    </xdr:to>
    <xdr:pic>
      <xdr:nvPicPr>
        <xdr:cNvPr id="32062" name="Imagen 3">
          <a:extLst>
            <a:ext uri="{FF2B5EF4-FFF2-40B4-BE49-F238E27FC236}">
              <a16:creationId xmlns:a16="http://schemas.microsoft.com/office/drawing/2014/main" id="{8AAE3154-C352-7E07-84B4-EBD158CC66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247650"/>
          <a:ext cx="4676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0</xdr:col>
      <xdr:colOff>1133475</xdr:colOff>
      <xdr:row>3</xdr:row>
      <xdr:rowOff>114300</xdr:rowOff>
    </xdr:to>
    <xdr:pic>
      <xdr:nvPicPr>
        <xdr:cNvPr id="33071" name="Imagen 2">
          <a:extLst>
            <a:ext uri="{FF2B5EF4-FFF2-40B4-BE49-F238E27FC236}">
              <a16:creationId xmlns:a16="http://schemas.microsoft.com/office/drawing/2014/main" id="{67DE68DA-8BB1-5223-D2CB-8820012DC4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66675"/>
          <a:ext cx="10668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1</xdr:row>
      <xdr:rowOff>66675</xdr:rowOff>
    </xdr:from>
    <xdr:to>
      <xdr:col>2</xdr:col>
      <xdr:colOff>657225</xdr:colOff>
      <xdr:row>2</xdr:row>
      <xdr:rowOff>76200</xdr:rowOff>
    </xdr:to>
    <xdr:pic>
      <xdr:nvPicPr>
        <xdr:cNvPr id="33072" name="Imagen 3">
          <a:extLst>
            <a:ext uri="{FF2B5EF4-FFF2-40B4-BE49-F238E27FC236}">
              <a16:creationId xmlns:a16="http://schemas.microsoft.com/office/drawing/2014/main" id="{95DC5D80-130A-40D0-A215-A052895919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257175"/>
          <a:ext cx="4657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895350</xdr:colOff>
      <xdr:row>2</xdr:row>
      <xdr:rowOff>133350</xdr:rowOff>
    </xdr:to>
    <xdr:pic>
      <xdr:nvPicPr>
        <xdr:cNvPr id="34095" name="Imagen 2">
          <a:extLst>
            <a:ext uri="{FF2B5EF4-FFF2-40B4-BE49-F238E27FC236}">
              <a16:creationId xmlns:a16="http://schemas.microsoft.com/office/drawing/2014/main" id="{95E432EF-3F3F-DB73-171E-E902274304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953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3</xdr:col>
      <xdr:colOff>85725</xdr:colOff>
      <xdr:row>2</xdr:row>
      <xdr:rowOff>9525</xdr:rowOff>
    </xdr:to>
    <xdr:pic>
      <xdr:nvPicPr>
        <xdr:cNvPr id="34096" name="Imagen 3">
          <a:extLst>
            <a:ext uri="{FF2B5EF4-FFF2-40B4-BE49-F238E27FC236}">
              <a16:creationId xmlns:a16="http://schemas.microsoft.com/office/drawing/2014/main" id="{A26273BB-6B36-0B48-4F15-919AB4CED0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0500"/>
          <a:ext cx="4648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1143000</xdr:colOff>
      <xdr:row>3</xdr:row>
      <xdr:rowOff>142875</xdr:rowOff>
    </xdr:to>
    <xdr:pic>
      <xdr:nvPicPr>
        <xdr:cNvPr id="35119" name="Imagen 2">
          <a:extLst>
            <a:ext uri="{FF2B5EF4-FFF2-40B4-BE49-F238E27FC236}">
              <a16:creationId xmlns:a16="http://schemas.microsoft.com/office/drawing/2014/main" id="{D9FAFA49-3F0F-E295-8CCA-5ACA322A6F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10953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1</xdr:row>
      <xdr:rowOff>133350</xdr:rowOff>
    </xdr:from>
    <xdr:to>
      <xdr:col>4</xdr:col>
      <xdr:colOff>133350</xdr:colOff>
      <xdr:row>2</xdr:row>
      <xdr:rowOff>133350</xdr:rowOff>
    </xdr:to>
    <xdr:pic>
      <xdr:nvPicPr>
        <xdr:cNvPr id="35120" name="Imagen 3">
          <a:extLst>
            <a:ext uri="{FF2B5EF4-FFF2-40B4-BE49-F238E27FC236}">
              <a16:creationId xmlns:a16="http://schemas.microsoft.com/office/drawing/2014/main" id="{DBFD9398-2492-285B-058C-9621691808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23850"/>
          <a:ext cx="4657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895350</xdr:colOff>
      <xdr:row>2</xdr:row>
      <xdr:rowOff>133350</xdr:rowOff>
    </xdr:to>
    <xdr:pic>
      <xdr:nvPicPr>
        <xdr:cNvPr id="36143" name="Imagen 2">
          <a:extLst>
            <a:ext uri="{FF2B5EF4-FFF2-40B4-BE49-F238E27FC236}">
              <a16:creationId xmlns:a16="http://schemas.microsoft.com/office/drawing/2014/main" id="{3E02F1D1-BB57-1241-9E8E-6642603176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953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2</xdr:col>
      <xdr:colOff>1038225</xdr:colOff>
      <xdr:row>2</xdr:row>
      <xdr:rowOff>9525</xdr:rowOff>
    </xdr:to>
    <xdr:pic>
      <xdr:nvPicPr>
        <xdr:cNvPr id="36144" name="Imagen 3">
          <a:extLst>
            <a:ext uri="{FF2B5EF4-FFF2-40B4-BE49-F238E27FC236}">
              <a16:creationId xmlns:a16="http://schemas.microsoft.com/office/drawing/2014/main" id="{CF6775A4-F8D0-BA5B-1283-7836A99104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0500"/>
          <a:ext cx="46863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895350</xdr:colOff>
      <xdr:row>2</xdr:row>
      <xdr:rowOff>133350</xdr:rowOff>
    </xdr:to>
    <xdr:pic>
      <xdr:nvPicPr>
        <xdr:cNvPr id="37167" name="Imagen 2">
          <a:extLst>
            <a:ext uri="{FF2B5EF4-FFF2-40B4-BE49-F238E27FC236}">
              <a16:creationId xmlns:a16="http://schemas.microsoft.com/office/drawing/2014/main" id="{CCFB54D0-9F92-B216-2815-9E430FA5E1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953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2</xdr:col>
      <xdr:colOff>923925</xdr:colOff>
      <xdr:row>2</xdr:row>
      <xdr:rowOff>9525</xdr:rowOff>
    </xdr:to>
    <xdr:pic>
      <xdr:nvPicPr>
        <xdr:cNvPr id="37168" name="Imagen 3">
          <a:extLst>
            <a:ext uri="{FF2B5EF4-FFF2-40B4-BE49-F238E27FC236}">
              <a16:creationId xmlns:a16="http://schemas.microsoft.com/office/drawing/2014/main" id="{DEB1D221-7973-8A44-1141-70C77782A9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0500"/>
          <a:ext cx="4676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895350</xdr:colOff>
      <xdr:row>2</xdr:row>
      <xdr:rowOff>133350</xdr:rowOff>
    </xdr:to>
    <xdr:pic>
      <xdr:nvPicPr>
        <xdr:cNvPr id="38191" name="Imagen 2">
          <a:extLst>
            <a:ext uri="{FF2B5EF4-FFF2-40B4-BE49-F238E27FC236}">
              <a16:creationId xmlns:a16="http://schemas.microsoft.com/office/drawing/2014/main" id="{D8589A79-BCEF-DC14-92A3-B3DD5B398A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953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2</xdr:col>
      <xdr:colOff>1047750</xdr:colOff>
      <xdr:row>2</xdr:row>
      <xdr:rowOff>9525</xdr:rowOff>
    </xdr:to>
    <xdr:pic>
      <xdr:nvPicPr>
        <xdr:cNvPr id="38192" name="Imagen 3">
          <a:extLst>
            <a:ext uri="{FF2B5EF4-FFF2-40B4-BE49-F238E27FC236}">
              <a16:creationId xmlns:a16="http://schemas.microsoft.com/office/drawing/2014/main" id="{AA518752-1876-9BFB-B34C-D019F7D732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0500"/>
          <a:ext cx="46863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895350</xdr:colOff>
      <xdr:row>2</xdr:row>
      <xdr:rowOff>133350</xdr:rowOff>
    </xdr:to>
    <xdr:pic>
      <xdr:nvPicPr>
        <xdr:cNvPr id="39215" name="Imagen 2">
          <a:extLst>
            <a:ext uri="{FF2B5EF4-FFF2-40B4-BE49-F238E27FC236}">
              <a16:creationId xmlns:a16="http://schemas.microsoft.com/office/drawing/2014/main" id="{6B409675-7D6D-6E1D-62CA-6A88A2CCF6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953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3</xdr:col>
      <xdr:colOff>438150</xdr:colOff>
      <xdr:row>2</xdr:row>
      <xdr:rowOff>9525</xdr:rowOff>
    </xdr:to>
    <xdr:pic>
      <xdr:nvPicPr>
        <xdr:cNvPr id="39216" name="Imagen 3">
          <a:extLst>
            <a:ext uri="{FF2B5EF4-FFF2-40B4-BE49-F238E27FC236}">
              <a16:creationId xmlns:a16="http://schemas.microsoft.com/office/drawing/2014/main" id="{5D4D3A6C-8BA4-7A09-1D17-9AAF4AE485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0500"/>
          <a:ext cx="4657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895350</xdr:colOff>
      <xdr:row>2</xdr:row>
      <xdr:rowOff>133350</xdr:rowOff>
    </xdr:to>
    <xdr:pic>
      <xdr:nvPicPr>
        <xdr:cNvPr id="40239" name="Imagen 2">
          <a:extLst>
            <a:ext uri="{FF2B5EF4-FFF2-40B4-BE49-F238E27FC236}">
              <a16:creationId xmlns:a16="http://schemas.microsoft.com/office/drawing/2014/main" id="{60D44244-5663-DA96-5E15-16442C9ED9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953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2</xdr:col>
      <xdr:colOff>28575</xdr:colOff>
      <xdr:row>2</xdr:row>
      <xdr:rowOff>9525</xdr:rowOff>
    </xdr:to>
    <xdr:pic>
      <xdr:nvPicPr>
        <xdr:cNvPr id="40240" name="Imagen 3">
          <a:extLst>
            <a:ext uri="{FF2B5EF4-FFF2-40B4-BE49-F238E27FC236}">
              <a16:creationId xmlns:a16="http://schemas.microsoft.com/office/drawing/2014/main" id="{18FDFB0D-9F26-A2A4-CBC5-88B4BDC09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0500"/>
          <a:ext cx="4657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0</xdr:col>
      <xdr:colOff>1581150</xdr:colOff>
      <xdr:row>6</xdr:row>
      <xdr:rowOff>19050</xdr:rowOff>
    </xdr:to>
    <xdr:pic>
      <xdr:nvPicPr>
        <xdr:cNvPr id="5423" name="Imagen 3">
          <a:extLst>
            <a:ext uri="{FF2B5EF4-FFF2-40B4-BE49-F238E27FC236}">
              <a16:creationId xmlns:a16="http://schemas.microsoft.com/office/drawing/2014/main" id="{4826505E-41C1-5FC7-57A9-3B9CD9FD20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38100"/>
          <a:ext cx="1524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1438275</xdr:colOff>
      <xdr:row>1</xdr:row>
      <xdr:rowOff>47625</xdr:rowOff>
    </xdr:from>
    <xdr:to>
      <xdr:col>2</xdr:col>
      <xdr:colOff>57150</xdr:colOff>
      <xdr:row>3</xdr:row>
      <xdr:rowOff>57150</xdr:rowOff>
    </xdr:to>
    <xdr:pic>
      <xdr:nvPicPr>
        <xdr:cNvPr id="5424" name="Imagen 4">
          <a:extLst>
            <a:ext uri="{FF2B5EF4-FFF2-40B4-BE49-F238E27FC236}">
              <a16:creationId xmlns:a16="http://schemas.microsoft.com/office/drawing/2014/main" id="{59C3BFB9-F71B-3279-D30A-5B2E4DF2CF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8275" y="228600"/>
          <a:ext cx="46196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895350</xdr:colOff>
      <xdr:row>2</xdr:row>
      <xdr:rowOff>133350</xdr:rowOff>
    </xdr:to>
    <xdr:pic>
      <xdr:nvPicPr>
        <xdr:cNvPr id="41263" name="Imagen 2">
          <a:extLst>
            <a:ext uri="{FF2B5EF4-FFF2-40B4-BE49-F238E27FC236}">
              <a16:creationId xmlns:a16="http://schemas.microsoft.com/office/drawing/2014/main" id="{4A819CFB-6B79-DF42-FFC8-581254916F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953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2</xdr:col>
      <xdr:colOff>228600</xdr:colOff>
      <xdr:row>2</xdr:row>
      <xdr:rowOff>9525</xdr:rowOff>
    </xdr:to>
    <xdr:pic>
      <xdr:nvPicPr>
        <xdr:cNvPr id="41264" name="Imagen 3">
          <a:extLst>
            <a:ext uri="{FF2B5EF4-FFF2-40B4-BE49-F238E27FC236}">
              <a16:creationId xmlns:a16="http://schemas.microsoft.com/office/drawing/2014/main" id="{B63B5A30-CA99-69EB-FC3B-737E6E4FE8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0500"/>
          <a:ext cx="46577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895350</xdr:colOff>
      <xdr:row>2</xdr:row>
      <xdr:rowOff>133350</xdr:rowOff>
    </xdr:to>
    <xdr:pic>
      <xdr:nvPicPr>
        <xdr:cNvPr id="42287" name="Imagen 2">
          <a:extLst>
            <a:ext uri="{FF2B5EF4-FFF2-40B4-BE49-F238E27FC236}">
              <a16:creationId xmlns:a16="http://schemas.microsoft.com/office/drawing/2014/main" id="{E5DE2DFA-1A9A-BD86-835C-D06F1E69DF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953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2</xdr:col>
      <xdr:colOff>1447800</xdr:colOff>
      <xdr:row>2</xdr:row>
      <xdr:rowOff>9525</xdr:rowOff>
    </xdr:to>
    <xdr:pic>
      <xdr:nvPicPr>
        <xdr:cNvPr id="42288" name="Imagen 3">
          <a:extLst>
            <a:ext uri="{FF2B5EF4-FFF2-40B4-BE49-F238E27FC236}">
              <a16:creationId xmlns:a16="http://schemas.microsoft.com/office/drawing/2014/main" id="{7B250D24-5F6B-E4FC-61E1-8B82DC2AE7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0500"/>
          <a:ext cx="46863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895350</xdr:colOff>
      <xdr:row>2</xdr:row>
      <xdr:rowOff>133350</xdr:rowOff>
    </xdr:to>
    <xdr:pic>
      <xdr:nvPicPr>
        <xdr:cNvPr id="43311" name="Imagen 2">
          <a:extLst>
            <a:ext uri="{FF2B5EF4-FFF2-40B4-BE49-F238E27FC236}">
              <a16:creationId xmlns:a16="http://schemas.microsoft.com/office/drawing/2014/main" id="{6A4B068B-884E-2299-6A3D-9ED832EB6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953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2</xdr:col>
      <xdr:colOff>1447800</xdr:colOff>
      <xdr:row>2</xdr:row>
      <xdr:rowOff>9525</xdr:rowOff>
    </xdr:to>
    <xdr:pic>
      <xdr:nvPicPr>
        <xdr:cNvPr id="43312" name="Imagen 3">
          <a:extLst>
            <a:ext uri="{FF2B5EF4-FFF2-40B4-BE49-F238E27FC236}">
              <a16:creationId xmlns:a16="http://schemas.microsoft.com/office/drawing/2014/main" id="{24BE00CE-FF34-E98F-08C3-A9B6FCFF50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0500"/>
          <a:ext cx="46863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oneCellAnchor>
    <xdr:from>
      <xdr:col>1</xdr:col>
      <xdr:colOff>4557</xdr:colOff>
      <xdr:row>15</xdr:row>
      <xdr:rowOff>124948</xdr:rowOff>
    </xdr:from>
    <xdr:ext cx="3171617" cy="655885"/>
    <xdr:sp macro="" textlink="">
      <xdr:nvSpPr>
        <xdr:cNvPr id="2" name="1 Rectángulo">
          <a:extLst>
            <a:ext uri="{FF2B5EF4-FFF2-40B4-BE49-F238E27FC236}">
              <a16:creationId xmlns:a16="http://schemas.microsoft.com/office/drawing/2014/main" id="{A59E07AC-C591-83AC-7E89-FBEE7B777409}"/>
            </a:ext>
          </a:extLst>
        </xdr:cNvPr>
        <xdr:cNvSpPr/>
      </xdr:nvSpPr>
      <xdr:spPr>
        <a:xfrm>
          <a:off x="3204957" y="3005308"/>
          <a:ext cx="3246942" cy="655885"/>
        </a:xfrm>
        <a:prstGeom prst="rect">
          <a:avLst/>
        </a:prstGeom>
        <a:noFill/>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3600" b="0" i="0" u="none" strike="noStrike" kern="0" cap="none" spc="0" normalizeH="0" baseline="0" noProof="0">
              <a:ln w="12700">
                <a:solidFill>
                  <a:srgbClr val="44546A">
                    <a:satMod val="155000"/>
                  </a:srgbClr>
                </a:solidFill>
                <a:prstDash val="solid"/>
              </a:ln>
              <a:solidFill>
                <a:sysClr val="windowText" lastClr="000000"/>
              </a:solidFill>
              <a:effectLst>
                <a:outerShdw blurRad="41275" dist="20320" dir="1800000" algn="tl" rotWithShape="0">
                  <a:srgbClr val="000000">
                    <a:alpha val="40000"/>
                  </a:srgbClr>
                </a:outerShdw>
              </a:effectLst>
              <a:uLnTx/>
              <a:uFillTx/>
            </a:rPr>
            <a:t>NO APLICA</a:t>
          </a:r>
        </a:p>
      </xdr:txBody>
    </xdr:sp>
    <xdr:clientData/>
  </xdr:oneCellAnchor>
  <xdr:twoCellAnchor editAs="oneCell">
    <xdr:from>
      <xdr:col>0</xdr:col>
      <xdr:colOff>0</xdr:colOff>
      <xdr:row>0</xdr:row>
      <xdr:rowOff>0</xdr:rowOff>
    </xdr:from>
    <xdr:to>
      <xdr:col>0</xdr:col>
      <xdr:colOff>895350</xdr:colOff>
      <xdr:row>2</xdr:row>
      <xdr:rowOff>133350</xdr:rowOff>
    </xdr:to>
    <xdr:pic>
      <xdr:nvPicPr>
        <xdr:cNvPr id="44487" name="Imagen 3">
          <a:extLst>
            <a:ext uri="{FF2B5EF4-FFF2-40B4-BE49-F238E27FC236}">
              <a16:creationId xmlns:a16="http://schemas.microsoft.com/office/drawing/2014/main" id="{83D2E4DE-0D11-B9D7-D69F-263A5CE00C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953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1</xdr:col>
      <xdr:colOff>1504950</xdr:colOff>
      <xdr:row>2</xdr:row>
      <xdr:rowOff>9525</xdr:rowOff>
    </xdr:to>
    <xdr:pic>
      <xdr:nvPicPr>
        <xdr:cNvPr id="44488" name="Imagen 4">
          <a:extLst>
            <a:ext uri="{FF2B5EF4-FFF2-40B4-BE49-F238E27FC236}">
              <a16:creationId xmlns:a16="http://schemas.microsoft.com/office/drawing/2014/main" id="{A00134E4-3DB3-2CBE-DACA-43F712C89D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0500"/>
          <a:ext cx="46958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1219200</xdr:colOff>
      <xdr:row>3</xdr:row>
      <xdr:rowOff>133350</xdr:rowOff>
    </xdr:to>
    <xdr:pic>
      <xdr:nvPicPr>
        <xdr:cNvPr id="45359" name="Imagen 2">
          <a:extLst>
            <a:ext uri="{FF2B5EF4-FFF2-40B4-BE49-F238E27FC236}">
              <a16:creationId xmlns:a16="http://schemas.microsoft.com/office/drawing/2014/main" id="{10EF2842-A4CB-26FF-E564-E26E87DA4C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192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76200</xdr:rowOff>
    </xdr:from>
    <xdr:to>
      <xdr:col>2</xdr:col>
      <xdr:colOff>1485900</xdr:colOff>
      <xdr:row>2</xdr:row>
      <xdr:rowOff>85725</xdr:rowOff>
    </xdr:to>
    <xdr:pic>
      <xdr:nvPicPr>
        <xdr:cNvPr id="45360" name="Imagen 3">
          <a:extLst>
            <a:ext uri="{FF2B5EF4-FFF2-40B4-BE49-F238E27FC236}">
              <a16:creationId xmlns:a16="http://schemas.microsoft.com/office/drawing/2014/main" id="{0C3B43F8-E7AA-31E2-E9F2-3605626559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266700"/>
          <a:ext cx="46863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1143000</xdr:colOff>
      <xdr:row>3</xdr:row>
      <xdr:rowOff>133350</xdr:rowOff>
    </xdr:to>
    <xdr:pic>
      <xdr:nvPicPr>
        <xdr:cNvPr id="46383" name="Imagen 2">
          <a:extLst>
            <a:ext uri="{FF2B5EF4-FFF2-40B4-BE49-F238E27FC236}">
              <a16:creationId xmlns:a16="http://schemas.microsoft.com/office/drawing/2014/main" id="{C1D4C23C-A4BE-79A6-C9A4-2D684E31F5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1430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1</xdr:row>
      <xdr:rowOff>76200</xdr:rowOff>
    </xdr:from>
    <xdr:to>
      <xdr:col>2</xdr:col>
      <xdr:colOff>800100</xdr:colOff>
      <xdr:row>2</xdr:row>
      <xdr:rowOff>85725</xdr:rowOff>
    </xdr:to>
    <xdr:pic>
      <xdr:nvPicPr>
        <xdr:cNvPr id="46384" name="Imagen 3">
          <a:extLst>
            <a:ext uri="{FF2B5EF4-FFF2-40B4-BE49-F238E27FC236}">
              <a16:creationId xmlns:a16="http://schemas.microsoft.com/office/drawing/2014/main" id="{DF00AABA-D9E6-8115-7A5B-8A537B90DD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266700"/>
          <a:ext cx="4676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9525</xdr:rowOff>
    </xdr:from>
    <xdr:to>
      <xdr:col>0</xdr:col>
      <xdr:colOff>1600200</xdr:colOff>
      <xdr:row>4</xdr:row>
      <xdr:rowOff>152400</xdr:rowOff>
    </xdr:to>
    <xdr:pic>
      <xdr:nvPicPr>
        <xdr:cNvPr id="4399" name="Imagen 3">
          <a:extLst>
            <a:ext uri="{FF2B5EF4-FFF2-40B4-BE49-F238E27FC236}">
              <a16:creationId xmlns:a16="http://schemas.microsoft.com/office/drawing/2014/main" id="{B0D4D758-5661-27B4-E553-F900328258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9525"/>
          <a:ext cx="15335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904875</xdr:colOff>
      <xdr:row>1</xdr:row>
      <xdr:rowOff>104775</xdr:rowOff>
    </xdr:from>
    <xdr:to>
      <xdr:col>11</xdr:col>
      <xdr:colOff>171450</xdr:colOff>
      <xdr:row>2</xdr:row>
      <xdr:rowOff>123825</xdr:rowOff>
    </xdr:to>
    <xdr:pic>
      <xdr:nvPicPr>
        <xdr:cNvPr id="4400" name="Imagen 4">
          <a:extLst>
            <a:ext uri="{FF2B5EF4-FFF2-40B4-BE49-F238E27FC236}">
              <a16:creationId xmlns:a16="http://schemas.microsoft.com/office/drawing/2014/main" id="{866374B6-A8DC-E137-273C-3D7E8F672B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76650" y="295275"/>
          <a:ext cx="46196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533400</xdr:colOff>
      <xdr:row>4</xdr:row>
      <xdr:rowOff>133350</xdr:rowOff>
    </xdr:to>
    <xdr:pic>
      <xdr:nvPicPr>
        <xdr:cNvPr id="6447" name="Imagen 3">
          <a:extLst>
            <a:ext uri="{FF2B5EF4-FFF2-40B4-BE49-F238E27FC236}">
              <a16:creationId xmlns:a16="http://schemas.microsoft.com/office/drawing/2014/main" id="{27BCCFF0-1AE4-467D-085D-324E876274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049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400050</xdr:colOff>
      <xdr:row>0</xdr:row>
      <xdr:rowOff>171450</xdr:rowOff>
    </xdr:from>
    <xdr:to>
      <xdr:col>5</xdr:col>
      <xdr:colOff>85725</xdr:colOff>
      <xdr:row>2</xdr:row>
      <xdr:rowOff>0</xdr:rowOff>
    </xdr:to>
    <xdr:pic>
      <xdr:nvPicPr>
        <xdr:cNvPr id="6448" name="Imagen 4">
          <a:extLst>
            <a:ext uri="{FF2B5EF4-FFF2-40B4-BE49-F238E27FC236}">
              <a16:creationId xmlns:a16="http://schemas.microsoft.com/office/drawing/2014/main" id="{7C503B24-31F7-9809-0046-EF2CBAEDC5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171450"/>
          <a:ext cx="4638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114300</xdr:colOff>
      <xdr:row>0</xdr:row>
      <xdr:rowOff>76200</xdr:rowOff>
    </xdr:from>
    <xdr:to>
      <xdr:col>1</xdr:col>
      <xdr:colOff>1647825</xdr:colOff>
      <xdr:row>4</xdr:row>
      <xdr:rowOff>95250</xdr:rowOff>
    </xdr:to>
    <xdr:pic>
      <xdr:nvPicPr>
        <xdr:cNvPr id="7472" name="Imagen 4">
          <a:extLst>
            <a:ext uri="{FF2B5EF4-FFF2-40B4-BE49-F238E27FC236}">
              <a16:creationId xmlns:a16="http://schemas.microsoft.com/office/drawing/2014/main" id="{75DE567A-B76B-5398-5BF1-BF66AA0B8F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76200"/>
          <a:ext cx="15335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1466850</xdr:colOff>
      <xdr:row>0</xdr:row>
      <xdr:rowOff>247650</xdr:rowOff>
    </xdr:from>
    <xdr:to>
      <xdr:col>5</xdr:col>
      <xdr:colOff>733425</xdr:colOff>
      <xdr:row>1</xdr:row>
      <xdr:rowOff>180975</xdr:rowOff>
    </xdr:to>
    <xdr:pic>
      <xdr:nvPicPr>
        <xdr:cNvPr id="7473" name="Imagen 5">
          <a:extLst>
            <a:ext uri="{FF2B5EF4-FFF2-40B4-BE49-F238E27FC236}">
              <a16:creationId xmlns:a16="http://schemas.microsoft.com/office/drawing/2014/main" id="{9BF67961-9904-7E6D-17EE-6C02B63150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0700" y="247650"/>
          <a:ext cx="46291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171450</xdr:colOff>
      <xdr:row>0</xdr:row>
      <xdr:rowOff>0</xdr:rowOff>
    </xdr:from>
    <xdr:to>
      <xdr:col>0</xdr:col>
      <xdr:colOff>1476375</xdr:colOff>
      <xdr:row>3</xdr:row>
      <xdr:rowOff>171450</xdr:rowOff>
    </xdr:to>
    <xdr:pic>
      <xdr:nvPicPr>
        <xdr:cNvPr id="8495" name="Imagen 2">
          <a:extLst>
            <a:ext uri="{FF2B5EF4-FFF2-40B4-BE49-F238E27FC236}">
              <a16:creationId xmlns:a16="http://schemas.microsoft.com/office/drawing/2014/main" id="{A569E21F-E6FB-690B-EC7D-A066F9A478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13049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1190625</xdr:colOff>
      <xdr:row>1</xdr:row>
      <xdr:rowOff>28575</xdr:rowOff>
    </xdr:from>
    <xdr:to>
      <xdr:col>3</xdr:col>
      <xdr:colOff>895350</xdr:colOff>
      <xdr:row>2</xdr:row>
      <xdr:rowOff>38100</xdr:rowOff>
    </xdr:to>
    <xdr:pic>
      <xdr:nvPicPr>
        <xdr:cNvPr id="8496" name="Imagen 3">
          <a:extLst>
            <a:ext uri="{FF2B5EF4-FFF2-40B4-BE49-F238E27FC236}">
              <a16:creationId xmlns:a16="http://schemas.microsoft.com/office/drawing/2014/main" id="{9B239A32-E55A-97DE-492A-5317AEDD2C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5" y="219075"/>
          <a:ext cx="4638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4144448</xdr:colOff>
      <xdr:row>11</xdr:row>
      <xdr:rowOff>120312</xdr:rowOff>
    </xdr:from>
    <xdr:ext cx="2102988" cy="593304"/>
    <xdr:sp macro="" textlink="">
      <xdr:nvSpPr>
        <xdr:cNvPr id="2" name="1 Rectángulo">
          <a:extLst>
            <a:ext uri="{FF2B5EF4-FFF2-40B4-BE49-F238E27FC236}">
              <a16:creationId xmlns:a16="http://schemas.microsoft.com/office/drawing/2014/main" id="{7FD3F554-7565-94FE-D630-722837CD3406}"/>
            </a:ext>
          </a:extLst>
        </xdr:cNvPr>
        <xdr:cNvSpPr/>
      </xdr:nvSpPr>
      <xdr:spPr>
        <a:xfrm rot="21144321">
          <a:off x="4253033" y="2130087"/>
          <a:ext cx="2107424" cy="593304"/>
        </a:xfrm>
        <a:prstGeom prst="rect">
          <a:avLst/>
        </a:prstGeom>
        <a:noFill/>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3200" b="0" i="0" u="none" strike="noStrike" kern="0" cap="none" spc="0" normalizeH="0" baseline="0" noProof="0">
              <a:ln w="12700">
                <a:solidFill>
                  <a:srgbClr val="44546A">
                    <a:satMod val="155000"/>
                  </a:srgbClr>
                </a:solidFill>
                <a:prstDash val="solid"/>
              </a:ln>
              <a:solidFill>
                <a:sysClr val="windowText" lastClr="000000"/>
              </a:solidFill>
              <a:effectLst>
                <a:outerShdw blurRad="41275" dist="20320" dir="1800000" algn="tl" rotWithShape="0">
                  <a:srgbClr val="000000">
                    <a:alpha val="40000"/>
                  </a:srgbClr>
                </a:outerShdw>
              </a:effectLst>
              <a:uLnTx/>
              <a:uFillTx/>
            </a:rPr>
            <a:t>NO APLICA</a:t>
          </a:r>
        </a:p>
      </xdr:txBody>
    </xdr:sp>
    <xdr:clientData/>
  </xdr:oneCellAnchor>
  <xdr:twoCellAnchor editAs="oneCell">
    <xdr:from>
      <xdr:col>0</xdr:col>
      <xdr:colOff>276225</xdr:colOff>
      <xdr:row>0</xdr:row>
      <xdr:rowOff>0</xdr:rowOff>
    </xdr:from>
    <xdr:to>
      <xdr:col>0</xdr:col>
      <xdr:colOff>1581150</xdr:colOff>
      <xdr:row>3</xdr:row>
      <xdr:rowOff>171450</xdr:rowOff>
    </xdr:to>
    <xdr:pic>
      <xdr:nvPicPr>
        <xdr:cNvPr id="9671" name="Imagen 3">
          <a:extLst>
            <a:ext uri="{FF2B5EF4-FFF2-40B4-BE49-F238E27FC236}">
              <a16:creationId xmlns:a16="http://schemas.microsoft.com/office/drawing/2014/main" id="{F03EF108-2D0F-E05E-26B6-4EF38A2321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0"/>
          <a:ext cx="13049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1152525</xdr:colOff>
      <xdr:row>0</xdr:row>
      <xdr:rowOff>133350</xdr:rowOff>
    </xdr:from>
    <xdr:to>
      <xdr:col>2</xdr:col>
      <xdr:colOff>561975</xdr:colOff>
      <xdr:row>1</xdr:row>
      <xdr:rowOff>142875</xdr:rowOff>
    </xdr:to>
    <xdr:pic>
      <xdr:nvPicPr>
        <xdr:cNvPr id="9672" name="Imagen 4">
          <a:extLst>
            <a:ext uri="{FF2B5EF4-FFF2-40B4-BE49-F238E27FC236}">
              <a16:creationId xmlns:a16="http://schemas.microsoft.com/office/drawing/2014/main" id="{0E0190F0-350C-9DEC-5385-7D00399390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52525" y="133350"/>
          <a:ext cx="4638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CONTAB%20ILIDAD%20ROSANTI%20S.A.E.C.A\ROSANTI%20S.A.E.C.A\Informe%20CNV-BVPASA\2021\Modelo%20cnv\Notas_a_los_Estados_Financiero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Local/Microsoft/Windows/INetCache/Content.Outlook/IOF1TUPK/escritorio/Nueva%20carpeta%20(2)/cierre%202021%20MH%20ok/MUSIC%20HALL%20-%20EECC%202021%20-%20Resolucion%2049%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BG"/>
      <sheetName val="ER"/>
      <sheetName val="EVPN"/>
      <sheetName val="EFE"/>
      <sheetName val="Nota1"/>
      <sheetName val="Nota 2"/>
      <sheetName val="Nota 3"/>
      <sheetName val="Nota 4"/>
      <sheetName val="Nota 5"/>
      <sheetName val="Nota 6"/>
      <sheetName val="Nota 7"/>
      <sheetName val="Nota 8"/>
      <sheetName val="Nota 9"/>
      <sheetName val="Nota 10"/>
      <sheetName val="Nota 11"/>
      <sheetName val="Nota 12"/>
      <sheetName val="Nota 13"/>
      <sheetName val="Nota 14"/>
      <sheetName val="Nota 15"/>
      <sheetName val="Nota 16"/>
      <sheetName val="Nota 17"/>
      <sheetName val="Nota 18"/>
      <sheetName val="Nota 19"/>
      <sheetName val="Nota 20"/>
      <sheetName val=" Nota 21"/>
      <sheetName val="Nota 22"/>
      <sheetName val="Nota 23"/>
      <sheetName val="Nota 24"/>
      <sheetName val="Nota 25"/>
      <sheetName val="Nota 26"/>
      <sheetName val="Nota 27"/>
      <sheetName val="Nota 28"/>
      <sheetName val="Nota 29"/>
      <sheetName val="Nota 30"/>
      <sheetName val="Nota 31"/>
      <sheetName val="Nota 32"/>
      <sheetName val="Nota 33"/>
      <sheetName val="Nota 34"/>
      <sheetName val="Nota 35"/>
      <sheetName val="Nota 36"/>
      <sheetName val="Nota 37"/>
      <sheetName val="Nota 38"/>
      <sheetName val="Nota 39"/>
      <sheetName val="Nota 40"/>
      <sheetName val="Base de Monedas"/>
    </sheetNames>
    <sheetDataSet>
      <sheetData sheetId="0" refreshError="1"/>
      <sheetData sheetId="1" refreshError="1"/>
      <sheetData sheetId="2" refreshError="1">
        <row r="4">
          <cell r="A4" t="str">
            <v xml:space="preserve"> </v>
          </cell>
        </row>
        <row r="31">
          <cell r="C31">
            <v>0</v>
          </cell>
          <cell r="D31">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row r="1">
          <cell r="A1" t="str">
            <v>PYG</v>
          </cell>
          <cell r="B1" t="str">
            <v>Guaraní</v>
          </cell>
        </row>
        <row r="2">
          <cell r="A2" t="str">
            <v>USD</v>
          </cell>
          <cell r="B2" t="str">
            <v>Dólar estadounidense</v>
          </cell>
        </row>
        <row r="3">
          <cell r="A3" t="str">
            <v>EUR</v>
          </cell>
          <cell r="B3" t="str">
            <v>Euro</v>
          </cell>
        </row>
        <row r="4">
          <cell r="A4" t="str">
            <v>AED</v>
          </cell>
          <cell r="B4" t="str">
            <v>Dírham de los Emiratos Árabes Unidos</v>
          </cell>
        </row>
        <row r="5">
          <cell r="A5" t="str">
            <v>AFN</v>
          </cell>
          <cell r="B5" t="str">
            <v>Afgani</v>
          </cell>
        </row>
        <row r="6">
          <cell r="A6" t="str">
            <v>ALL</v>
          </cell>
          <cell r="B6" t="str">
            <v>Lek</v>
          </cell>
        </row>
        <row r="7">
          <cell r="A7" t="str">
            <v>AMD</v>
          </cell>
          <cell r="B7" t="str">
            <v>Dram armenio</v>
          </cell>
        </row>
        <row r="8">
          <cell r="A8" t="str">
            <v>ANG</v>
          </cell>
          <cell r="B8" t="str">
            <v>Florín antillano neerlandés</v>
          </cell>
        </row>
        <row r="9">
          <cell r="A9" t="str">
            <v>AOA</v>
          </cell>
          <cell r="B9" t="str">
            <v>Kwanza</v>
          </cell>
        </row>
        <row r="10">
          <cell r="A10" t="str">
            <v>ARS</v>
          </cell>
          <cell r="B10" t="str">
            <v>Peso argentino</v>
          </cell>
        </row>
        <row r="11">
          <cell r="A11" t="str">
            <v>AUD</v>
          </cell>
          <cell r="B11" t="str">
            <v>Dólar australiano</v>
          </cell>
        </row>
        <row r="12">
          <cell r="A12" t="str">
            <v>AWG</v>
          </cell>
          <cell r="B12" t="str">
            <v>Florín arubeño</v>
          </cell>
        </row>
        <row r="13">
          <cell r="A13" t="str">
            <v>AZN</v>
          </cell>
          <cell r="B13" t="str">
            <v>Manat azerbaiyano</v>
          </cell>
        </row>
        <row r="14">
          <cell r="A14" t="str">
            <v>BAM</v>
          </cell>
          <cell r="B14" t="str">
            <v>Marco convertible</v>
          </cell>
        </row>
        <row r="15">
          <cell r="A15" t="str">
            <v>BBD</v>
          </cell>
          <cell r="B15" t="str">
            <v>Dólar de Barbados</v>
          </cell>
        </row>
        <row r="16">
          <cell r="A16" t="str">
            <v>BDT</v>
          </cell>
          <cell r="B16" t="str">
            <v>Taka</v>
          </cell>
        </row>
        <row r="17">
          <cell r="A17" t="str">
            <v>BGN</v>
          </cell>
          <cell r="B17" t="str">
            <v>Lev búlgaro</v>
          </cell>
        </row>
        <row r="18">
          <cell r="A18" t="str">
            <v>BHD</v>
          </cell>
          <cell r="B18" t="str">
            <v>Dinar bareiní</v>
          </cell>
        </row>
        <row r="19">
          <cell r="A19" t="str">
            <v>BIF</v>
          </cell>
          <cell r="B19" t="str">
            <v>Franco de Burundi</v>
          </cell>
        </row>
        <row r="20">
          <cell r="A20" t="str">
            <v>BMD</v>
          </cell>
          <cell r="B20" t="str">
            <v>Dólar bermudeño</v>
          </cell>
        </row>
        <row r="21">
          <cell r="A21" t="str">
            <v>BND</v>
          </cell>
          <cell r="B21" t="str">
            <v>Dólar de Brunéi</v>
          </cell>
        </row>
        <row r="22">
          <cell r="A22" t="str">
            <v>BOB</v>
          </cell>
          <cell r="B22" t="str">
            <v>Boliviano</v>
          </cell>
        </row>
        <row r="23">
          <cell r="A23" t="str">
            <v>BOV</v>
          </cell>
          <cell r="B23" t="str">
            <v>MVDOL</v>
          </cell>
        </row>
        <row r="24">
          <cell r="A24" t="str">
            <v>BRL</v>
          </cell>
          <cell r="B24" t="str">
            <v>Real brasileño</v>
          </cell>
        </row>
        <row r="25">
          <cell r="A25" t="str">
            <v>BSD</v>
          </cell>
          <cell r="B25" t="str">
            <v>Dólar bahameño</v>
          </cell>
        </row>
        <row r="26">
          <cell r="A26" t="str">
            <v>BTN</v>
          </cell>
          <cell r="B26" t="str">
            <v>Ngultrum</v>
          </cell>
        </row>
        <row r="27">
          <cell r="A27" t="str">
            <v>BWP</v>
          </cell>
          <cell r="B27" t="str">
            <v>Pula</v>
          </cell>
        </row>
        <row r="28">
          <cell r="A28" t="str">
            <v>BYN</v>
          </cell>
          <cell r="B28" t="str">
            <v>Rublo bielorruso</v>
          </cell>
        </row>
        <row r="29">
          <cell r="A29" t="str">
            <v>BZD</v>
          </cell>
          <cell r="B29" t="str">
            <v>Dólar beliceño</v>
          </cell>
        </row>
        <row r="30">
          <cell r="A30" t="str">
            <v>CAD</v>
          </cell>
          <cell r="B30" t="str">
            <v>Dólar canadiense</v>
          </cell>
        </row>
        <row r="31">
          <cell r="A31" t="str">
            <v>CDF</v>
          </cell>
          <cell r="B31" t="str">
            <v>Franco congoleño</v>
          </cell>
        </row>
        <row r="32">
          <cell r="A32" t="str">
            <v>CHE</v>
          </cell>
          <cell r="B32" t="str">
            <v>Euro WIR</v>
          </cell>
        </row>
        <row r="33">
          <cell r="A33" t="str">
            <v>CHF</v>
          </cell>
          <cell r="B33" t="str">
            <v>Franco suizo</v>
          </cell>
        </row>
        <row r="34">
          <cell r="A34" t="str">
            <v>CHW</v>
          </cell>
          <cell r="B34" t="str">
            <v>Franco WIR</v>
          </cell>
        </row>
        <row r="35">
          <cell r="A35" t="str">
            <v>CLF</v>
          </cell>
          <cell r="B35" t="str">
            <v>Unidad de fomento</v>
          </cell>
        </row>
        <row r="36">
          <cell r="A36" t="str">
            <v>CLP</v>
          </cell>
          <cell r="B36" t="str">
            <v>Peso chileno</v>
          </cell>
        </row>
        <row r="37">
          <cell r="A37" t="str">
            <v>CNY</v>
          </cell>
          <cell r="B37" t="str">
            <v>Yuan chino</v>
          </cell>
        </row>
        <row r="38">
          <cell r="A38" t="str">
            <v>COP</v>
          </cell>
          <cell r="B38" t="str">
            <v>Peso colombiano</v>
          </cell>
        </row>
        <row r="39">
          <cell r="A39" t="str">
            <v>COU</v>
          </cell>
          <cell r="B39" t="str">
            <v>Unidad de valor real</v>
          </cell>
        </row>
        <row r="40">
          <cell r="A40" t="str">
            <v>CRC</v>
          </cell>
          <cell r="B40" t="str">
            <v>Colón costarricense</v>
          </cell>
        </row>
        <row r="41">
          <cell r="A41" t="str">
            <v>CUC</v>
          </cell>
          <cell r="B41" t="str">
            <v>Peso convertible</v>
          </cell>
        </row>
        <row r="42">
          <cell r="A42" t="str">
            <v>CUP</v>
          </cell>
          <cell r="B42" t="str">
            <v>Peso cubano</v>
          </cell>
        </row>
        <row r="43">
          <cell r="A43" t="str">
            <v>CVE</v>
          </cell>
          <cell r="B43" t="str">
            <v>Escudo caboverdiano</v>
          </cell>
        </row>
        <row r="44">
          <cell r="A44" t="str">
            <v>CZK</v>
          </cell>
          <cell r="B44" t="str">
            <v>Corona checa</v>
          </cell>
        </row>
        <row r="45">
          <cell r="A45" t="str">
            <v>DJF</v>
          </cell>
          <cell r="B45" t="str">
            <v>Franco yibutiano</v>
          </cell>
        </row>
        <row r="46">
          <cell r="A46" t="str">
            <v>DKK</v>
          </cell>
          <cell r="B46" t="str">
            <v>Corona danesa</v>
          </cell>
        </row>
        <row r="47">
          <cell r="A47" t="str">
            <v>DOP</v>
          </cell>
          <cell r="B47" t="str">
            <v>Peso dominicano</v>
          </cell>
        </row>
        <row r="48">
          <cell r="A48" t="str">
            <v>DZD</v>
          </cell>
          <cell r="B48" t="str">
            <v>Dinar argelino</v>
          </cell>
        </row>
        <row r="49">
          <cell r="A49" t="str">
            <v>EGP</v>
          </cell>
          <cell r="B49" t="str">
            <v>Libra egipcia</v>
          </cell>
        </row>
        <row r="50">
          <cell r="A50" t="str">
            <v>ERN</v>
          </cell>
          <cell r="B50" t="str">
            <v>Nakfa</v>
          </cell>
        </row>
        <row r="51">
          <cell r="A51" t="str">
            <v>ETB</v>
          </cell>
          <cell r="B51" t="str">
            <v>Birr etíope</v>
          </cell>
        </row>
        <row r="52">
          <cell r="A52" t="str">
            <v>FJD</v>
          </cell>
          <cell r="B52" t="str">
            <v>Dólar fiyiano</v>
          </cell>
        </row>
        <row r="53">
          <cell r="A53" t="str">
            <v>FKP</v>
          </cell>
          <cell r="B53" t="str">
            <v>Libra malvinense</v>
          </cell>
        </row>
        <row r="54">
          <cell r="A54" t="str">
            <v>GBP</v>
          </cell>
          <cell r="B54" t="str">
            <v>Libra esterlina</v>
          </cell>
        </row>
        <row r="55">
          <cell r="A55" t="str">
            <v>GEL</v>
          </cell>
          <cell r="B55" t="str">
            <v>Lari</v>
          </cell>
        </row>
        <row r="56">
          <cell r="A56" t="str">
            <v>GHS</v>
          </cell>
          <cell r="B56" t="str">
            <v>Cedi ghanés</v>
          </cell>
        </row>
        <row r="57">
          <cell r="A57" t="str">
            <v>GIP</v>
          </cell>
          <cell r="B57" t="str">
            <v>Libra de Gibraltar</v>
          </cell>
        </row>
        <row r="58">
          <cell r="A58" t="str">
            <v>GMD</v>
          </cell>
          <cell r="B58" t="str">
            <v>Dalasi</v>
          </cell>
        </row>
        <row r="59">
          <cell r="A59" t="str">
            <v>GNF</v>
          </cell>
          <cell r="B59" t="str">
            <v>Franco guineano</v>
          </cell>
        </row>
        <row r="60">
          <cell r="A60" t="str">
            <v>GTQ</v>
          </cell>
          <cell r="B60" t="str">
            <v>Quetzal</v>
          </cell>
        </row>
        <row r="61">
          <cell r="A61" t="str">
            <v>GYD</v>
          </cell>
          <cell r="B61" t="str">
            <v>Dólar guyanés</v>
          </cell>
        </row>
        <row r="62">
          <cell r="A62" t="str">
            <v>HKD</v>
          </cell>
          <cell r="B62" t="str">
            <v>Dólar de Hong Kong</v>
          </cell>
        </row>
        <row r="63">
          <cell r="A63" t="str">
            <v>HNL</v>
          </cell>
          <cell r="B63" t="str">
            <v>Lempira</v>
          </cell>
        </row>
        <row r="64">
          <cell r="A64" t="str">
            <v>HRK</v>
          </cell>
          <cell r="B64" t="str">
            <v>Kuna</v>
          </cell>
        </row>
        <row r="65">
          <cell r="A65" t="str">
            <v>HTG</v>
          </cell>
          <cell r="B65" t="str">
            <v>Gourde</v>
          </cell>
        </row>
        <row r="66">
          <cell r="A66" t="str">
            <v>HUF</v>
          </cell>
          <cell r="B66" t="str">
            <v>Forinto</v>
          </cell>
        </row>
        <row r="67">
          <cell r="A67" t="str">
            <v>IDR</v>
          </cell>
          <cell r="B67" t="str">
            <v>Rupia indonesia</v>
          </cell>
        </row>
        <row r="68">
          <cell r="A68" t="str">
            <v>ILS</v>
          </cell>
          <cell r="B68" t="str">
            <v>Nuevo shéquel israelí</v>
          </cell>
        </row>
        <row r="69">
          <cell r="A69" t="str">
            <v>INR</v>
          </cell>
          <cell r="B69" t="str">
            <v>Rupia india</v>
          </cell>
        </row>
        <row r="70">
          <cell r="A70" t="str">
            <v>IQD</v>
          </cell>
          <cell r="B70" t="str">
            <v>Dinar iraquí</v>
          </cell>
        </row>
        <row r="71">
          <cell r="A71" t="str">
            <v>IRR</v>
          </cell>
          <cell r="B71" t="str">
            <v>Rial iraní</v>
          </cell>
        </row>
        <row r="72">
          <cell r="A72" t="str">
            <v>ISK</v>
          </cell>
          <cell r="B72" t="str">
            <v>Corona islandesa</v>
          </cell>
        </row>
        <row r="73">
          <cell r="A73" t="str">
            <v>JMD</v>
          </cell>
          <cell r="B73" t="str">
            <v>Dólar jamaiquino</v>
          </cell>
        </row>
        <row r="74">
          <cell r="A74" t="str">
            <v>JOD</v>
          </cell>
          <cell r="B74" t="str">
            <v>Dinar jordano</v>
          </cell>
        </row>
        <row r="75">
          <cell r="A75" t="str">
            <v>JPY</v>
          </cell>
          <cell r="B75" t="str">
            <v>Yen</v>
          </cell>
        </row>
        <row r="76">
          <cell r="A76" t="str">
            <v>KES</v>
          </cell>
          <cell r="B76" t="str">
            <v>Chelín keniano</v>
          </cell>
        </row>
        <row r="77">
          <cell r="A77" t="str">
            <v>KGS</v>
          </cell>
          <cell r="B77" t="str">
            <v>Som</v>
          </cell>
        </row>
        <row r="78">
          <cell r="A78" t="str">
            <v>KHR</v>
          </cell>
          <cell r="B78" t="str">
            <v>Riel</v>
          </cell>
        </row>
        <row r="79">
          <cell r="A79" t="str">
            <v>KMF</v>
          </cell>
          <cell r="B79" t="str">
            <v>Franco comorense</v>
          </cell>
        </row>
        <row r="80">
          <cell r="A80" t="str">
            <v>KPW</v>
          </cell>
          <cell r="B80" t="str">
            <v>Won norcoreano</v>
          </cell>
        </row>
        <row r="81">
          <cell r="A81" t="str">
            <v>KRW</v>
          </cell>
          <cell r="B81" t="str">
            <v>Won</v>
          </cell>
        </row>
        <row r="82">
          <cell r="A82" t="str">
            <v>KWD</v>
          </cell>
          <cell r="B82" t="str">
            <v>Dinar kuwaití</v>
          </cell>
        </row>
        <row r="83">
          <cell r="A83" t="str">
            <v>KYD</v>
          </cell>
          <cell r="B83" t="str">
            <v>Dólar de las Islas Caimán</v>
          </cell>
        </row>
        <row r="84">
          <cell r="A84" t="str">
            <v>KZT</v>
          </cell>
          <cell r="B84" t="str">
            <v>Tenge</v>
          </cell>
        </row>
        <row r="85">
          <cell r="A85" t="str">
            <v>LAK</v>
          </cell>
          <cell r="B85" t="str">
            <v>Kip</v>
          </cell>
        </row>
        <row r="86">
          <cell r="A86" t="str">
            <v>LBP</v>
          </cell>
          <cell r="B86" t="str">
            <v>Libra libanesa</v>
          </cell>
        </row>
        <row r="87">
          <cell r="A87" t="str">
            <v>LKR</v>
          </cell>
          <cell r="B87" t="str">
            <v>Rupia de Sri Lanka</v>
          </cell>
        </row>
        <row r="88">
          <cell r="A88" t="str">
            <v>LRD</v>
          </cell>
          <cell r="B88" t="str">
            <v>Dólar liberiano</v>
          </cell>
        </row>
        <row r="89">
          <cell r="A89" t="str">
            <v>LSL</v>
          </cell>
          <cell r="B89" t="str">
            <v>Loti</v>
          </cell>
        </row>
        <row r="90">
          <cell r="A90" t="str">
            <v>LYD</v>
          </cell>
          <cell r="B90" t="str">
            <v>Dinar libio</v>
          </cell>
        </row>
        <row r="91">
          <cell r="A91" t="str">
            <v>MAD</v>
          </cell>
          <cell r="B91" t="str">
            <v>Dírham marroquí</v>
          </cell>
        </row>
        <row r="92">
          <cell r="A92" t="str">
            <v>MDL</v>
          </cell>
          <cell r="B92" t="str">
            <v>Leu moldavo</v>
          </cell>
        </row>
        <row r="93">
          <cell r="A93" t="str">
            <v>MGA</v>
          </cell>
          <cell r="B93" t="str">
            <v>Ariary malgache</v>
          </cell>
        </row>
        <row r="94">
          <cell r="A94" t="str">
            <v>MKD</v>
          </cell>
          <cell r="B94" t="str">
            <v>Denar</v>
          </cell>
        </row>
        <row r="95">
          <cell r="A95" t="str">
            <v>MMK</v>
          </cell>
          <cell r="B95" t="str">
            <v>Kyat</v>
          </cell>
        </row>
        <row r="96">
          <cell r="A96" t="str">
            <v>MNT</v>
          </cell>
          <cell r="B96" t="str">
            <v>Tugrik</v>
          </cell>
        </row>
        <row r="97">
          <cell r="A97" t="str">
            <v>MOP</v>
          </cell>
          <cell r="B97" t="str">
            <v>Pataca</v>
          </cell>
        </row>
        <row r="98">
          <cell r="A98" t="str">
            <v>MRU</v>
          </cell>
          <cell r="B98" t="str">
            <v>Uguiya</v>
          </cell>
        </row>
        <row r="99">
          <cell r="A99" t="str">
            <v>MUR</v>
          </cell>
          <cell r="B99" t="str">
            <v>Rupia de Mauricio</v>
          </cell>
        </row>
        <row r="100">
          <cell r="A100" t="str">
            <v>MVR</v>
          </cell>
          <cell r="B100" t="str">
            <v>Rufiyaa</v>
          </cell>
        </row>
        <row r="101">
          <cell r="A101" t="str">
            <v>MWK</v>
          </cell>
          <cell r="B101" t="str">
            <v>Kwacha</v>
          </cell>
        </row>
        <row r="102">
          <cell r="A102" t="str">
            <v>MXN</v>
          </cell>
          <cell r="B102" t="str">
            <v>Peso mexicano</v>
          </cell>
        </row>
        <row r="103">
          <cell r="A103" t="str">
            <v>MXV</v>
          </cell>
          <cell r="B103" t="str">
            <v>Unidad de Inversión (UDI) mexicana</v>
          </cell>
        </row>
        <row r="104">
          <cell r="A104" t="str">
            <v>MYR</v>
          </cell>
          <cell r="B104" t="str">
            <v>Ringgit malayo</v>
          </cell>
        </row>
        <row r="105">
          <cell r="A105" t="str">
            <v>MZN</v>
          </cell>
          <cell r="B105" t="str">
            <v>Metical mozambiqueño</v>
          </cell>
        </row>
        <row r="106">
          <cell r="A106" t="str">
            <v>NAD</v>
          </cell>
          <cell r="B106" t="str">
            <v>Dólar namibio</v>
          </cell>
        </row>
        <row r="107">
          <cell r="A107" t="str">
            <v>NGN</v>
          </cell>
          <cell r="B107" t="str">
            <v>Naira</v>
          </cell>
        </row>
        <row r="108">
          <cell r="A108" t="str">
            <v>NIO</v>
          </cell>
          <cell r="B108" t="str">
            <v>Córdoba</v>
          </cell>
        </row>
        <row r="109">
          <cell r="A109" t="str">
            <v>NOK</v>
          </cell>
          <cell r="B109" t="str">
            <v>Corona noruega</v>
          </cell>
        </row>
        <row r="110">
          <cell r="A110" t="str">
            <v>NPR</v>
          </cell>
          <cell r="B110" t="str">
            <v>Rupia nepalí</v>
          </cell>
        </row>
        <row r="111">
          <cell r="A111" t="str">
            <v>NZD</v>
          </cell>
          <cell r="B111" t="str">
            <v>Dólar neozelandés</v>
          </cell>
        </row>
        <row r="112">
          <cell r="A112" t="str">
            <v>OMR</v>
          </cell>
          <cell r="B112" t="str">
            <v>Rial omaní</v>
          </cell>
        </row>
        <row r="113">
          <cell r="A113" t="str">
            <v>PAB</v>
          </cell>
          <cell r="B113" t="str">
            <v>Balboa</v>
          </cell>
        </row>
        <row r="114">
          <cell r="A114" t="str">
            <v>PEN</v>
          </cell>
          <cell r="B114" t="str">
            <v>Sol</v>
          </cell>
        </row>
        <row r="115">
          <cell r="A115" t="str">
            <v>PGK</v>
          </cell>
          <cell r="B115" t="str">
            <v>Kina</v>
          </cell>
        </row>
        <row r="116">
          <cell r="A116" t="str">
            <v>PHP</v>
          </cell>
          <cell r="B116" t="str">
            <v>Peso filipino</v>
          </cell>
        </row>
        <row r="117">
          <cell r="A117" t="str">
            <v>PKR</v>
          </cell>
          <cell r="B117" t="str">
            <v>Rupia pakistaní</v>
          </cell>
        </row>
        <row r="118">
          <cell r="A118" t="str">
            <v>PLN</v>
          </cell>
          <cell r="B118" t="str">
            <v>Złoty</v>
          </cell>
        </row>
        <row r="119">
          <cell r="A119" t="str">
            <v>QAR</v>
          </cell>
          <cell r="B119" t="str">
            <v>Riyal qatarí</v>
          </cell>
        </row>
        <row r="120">
          <cell r="A120" t="str">
            <v>RON</v>
          </cell>
          <cell r="B120" t="str">
            <v>Leu rumano</v>
          </cell>
        </row>
        <row r="121">
          <cell r="A121" t="str">
            <v>RSD</v>
          </cell>
          <cell r="B121" t="str">
            <v>Dinar serbio</v>
          </cell>
        </row>
        <row r="122">
          <cell r="A122" t="str">
            <v>RUB</v>
          </cell>
          <cell r="B122" t="str">
            <v>Rublo ruso</v>
          </cell>
        </row>
        <row r="123">
          <cell r="A123" t="str">
            <v>RWF</v>
          </cell>
          <cell r="B123" t="str">
            <v>Franco ruandés</v>
          </cell>
        </row>
        <row r="124">
          <cell r="A124" t="str">
            <v>SAR</v>
          </cell>
          <cell r="B124" t="str">
            <v>Riyal saudí</v>
          </cell>
        </row>
        <row r="125">
          <cell r="A125" t="str">
            <v>SBD</v>
          </cell>
          <cell r="B125" t="str">
            <v>Dólar de las Islas Salomón</v>
          </cell>
        </row>
        <row r="126">
          <cell r="A126" t="str">
            <v>SCR</v>
          </cell>
          <cell r="B126" t="str">
            <v>Rupia seychelense</v>
          </cell>
        </row>
        <row r="127">
          <cell r="A127" t="str">
            <v>SDG</v>
          </cell>
          <cell r="B127" t="str">
            <v>Dinar sudanés</v>
          </cell>
        </row>
        <row r="128">
          <cell r="A128" t="str">
            <v>SEK</v>
          </cell>
          <cell r="B128" t="str">
            <v>Corona sueca</v>
          </cell>
        </row>
        <row r="129">
          <cell r="A129" t="str">
            <v>SGD</v>
          </cell>
          <cell r="B129" t="str">
            <v>Dólar de Singapur</v>
          </cell>
        </row>
        <row r="130">
          <cell r="A130" t="str">
            <v>SHP</v>
          </cell>
          <cell r="B130" t="str">
            <v>Libra de Santa Elena</v>
          </cell>
        </row>
        <row r="131">
          <cell r="A131" t="str">
            <v>SLL</v>
          </cell>
          <cell r="B131" t="str">
            <v>Leone</v>
          </cell>
        </row>
        <row r="132">
          <cell r="A132" t="str">
            <v>SOS</v>
          </cell>
          <cell r="B132" t="str">
            <v>Chelín somalí</v>
          </cell>
        </row>
        <row r="133">
          <cell r="A133" t="str">
            <v>SRD</v>
          </cell>
          <cell r="B133" t="str">
            <v>Dólar surinamés</v>
          </cell>
        </row>
        <row r="134">
          <cell r="A134" t="str">
            <v>SSP</v>
          </cell>
          <cell r="B134" t="str">
            <v>Libra sursudanesa</v>
          </cell>
        </row>
        <row r="135">
          <cell r="A135" t="str">
            <v>STN</v>
          </cell>
          <cell r="B135" t="str">
            <v>Dobra</v>
          </cell>
        </row>
        <row r="136">
          <cell r="A136" t="str">
            <v>SVC</v>
          </cell>
          <cell r="B136" t="str">
            <v>Colon Salvadoreño</v>
          </cell>
        </row>
        <row r="137">
          <cell r="A137" t="str">
            <v>SYP</v>
          </cell>
          <cell r="B137" t="str">
            <v>Libra siria</v>
          </cell>
        </row>
        <row r="138">
          <cell r="A138" t="str">
            <v>SZL</v>
          </cell>
          <cell r="B138" t="str">
            <v>Lilangeni</v>
          </cell>
        </row>
        <row r="139">
          <cell r="A139" t="str">
            <v>THB</v>
          </cell>
          <cell r="B139" t="str">
            <v>Baht</v>
          </cell>
        </row>
        <row r="140">
          <cell r="A140" t="str">
            <v>TJS</v>
          </cell>
          <cell r="B140" t="str">
            <v>Somoni tayiko</v>
          </cell>
        </row>
        <row r="141">
          <cell r="A141" t="str">
            <v>TMT</v>
          </cell>
          <cell r="B141" t="str">
            <v>Manat turcomano</v>
          </cell>
        </row>
        <row r="142">
          <cell r="A142" t="str">
            <v>TND</v>
          </cell>
          <cell r="B142" t="str">
            <v>Dinar tunecino</v>
          </cell>
        </row>
        <row r="143">
          <cell r="A143" t="str">
            <v>TOP</v>
          </cell>
          <cell r="B143" t="str">
            <v>Paʻanga</v>
          </cell>
        </row>
        <row r="144">
          <cell r="A144" t="str">
            <v>TRY</v>
          </cell>
          <cell r="B144" t="str">
            <v>Lira turca</v>
          </cell>
        </row>
        <row r="145">
          <cell r="A145" t="str">
            <v>TTD</v>
          </cell>
          <cell r="B145" t="str">
            <v>Dólar de Trinidad y Tobago</v>
          </cell>
        </row>
        <row r="146">
          <cell r="A146" t="str">
            <v>TWD</v>
          </cell>
          <cell r="B146" t="str">
            <v>Nuevo dólar taiwanés</v>
          </cell>
        </row>
        <row r="147">
          <cell r="A147" t="str">
            <v>TZS</v>
          </cell>
          <cell r="B147" t="str">
            <v>Chelín tanzano</v>
          </cell>
        </row>
        <row r="148">
          <cell r="A148" t="str">
            <v>UAH</v>
          </cell>
          <cell r="B148" t="str">
            <v>Grivna</v>
          </cell>
        </row>
        <row r="149">
          <cell r="A149" t="str">
            <v>UGX</v>
          </cell>
          <cell r="B149" t="str">
            <v>Chelín ugandés</v>
          </cell>
        </row>
        <row r="150">
          <cell r="A150" t="str">
            <v>USN</v>
          </cell>
          <cell r="B150" t="str">
            <v>Dólar estadounidense (Siguiente día)</v>
          </cell>
        </row>
        <row r="151">
          <cell r="A151" t="str">
            <v>UYI</v>
          </cell>
          <cell r="B151" t="str">
            <v>Peso en Unidades Indexadas (Uruguay)</v>
          </cell>
        </row>
        <row r="152">
          <cell r="A152" t="str">
            <v>UYU</v>
          </cell>
          <cell r="B152" t="str">
            <v>Peso uruguayo</v>
          </cell>
        </row>
        <row r="153">
          <cell r="A153" t="str">
            <v>UYW</v>
          </cell>
          <cell r="B153" t="str">
            <v>Unidad Previsional</v>
          </cell>
        </row>
        <row r="154">
          <cell r="A154" t="str">
            <v>UZS</v>
          </cell>
          <cell r="B154" t="str">
            <v>Som uzbeko</v>
          </cell>
        </row>
        <row r="155">
          <cell r="A155" t="str">
            <v>VES7​</v>
          </cell>
          <cell r="B155" t="str">
            <v>Bolívar soberano</v>
          </cell>
        </row>
        <row r="156">
          <cell r="A156" t="str">
            <v>VND</v>
          </cell>
          <cell r="B156" t="str">
            <v>Dong vietnamita</v>
          </cell>
        </row>
        <row r="157">
          <cell r="A157" t="str">
            <v>VUV</v>
          </cell>
          <cell r="B157" t="str">
            <v>Vatu</v>
          </cell>
        </row>
        <row r="158">
          <cell r="A158" t="str">
            <v>WST</v>
          </cell>
          <cell r="B158" t="str">
            <v>Tala</v>
          </cell>
        </row>
        <row r="159">
          <cell r="A159" t="str">
            <v>XAF</v>
          </cell>
          <cell r="B159" t="str">
            <v>Franco CFA de África Central</v>
          </cell>
        </row>
        <row r="160">
          <cell r="A160" t="str">
            <v>XAG</v>
          </cell>
          <cell r="B160" t="str">
            <v>Plata (una onza troy)</v>
          </cell>
        </row>
        <row r="161">
          <cell r="A161" t="str">
            <v>XAU</v>
          </cell>
          <cell r="B161" t="str">
            <v>Oro (una onza troy)</v>
          </cell>
        </row>
        <row r="162">
          <cell r="A162" t="str">
            <v>XBA</v>
          </cell>
          <cell r="B162" t="str">
            <v>Unidad compuesta europea (EURCO) (Unidad del mercados de bonos)</v>
          </cell>
        </row>
        <row r="163">
          <cell r="A163" t="str">
            <v>XBB</v>
          </cell>
          <cell r="B163" t="str">
            <v>Unidad Monetaria europea (E.M.U.-6) (Unidad del mercado de bonos)</v>
          </cell>
        </row>
        <row r="164">
          <cell r="A164" t="str">
            <v>XBC</v>
          </cell>
          <cell r="B164" t="str">
            <v>Unidad europea de cuenta 9 (E.U.A.-9) (Unidad del mercado de bonos)</v>
          </cell>
        </row>
        <row r="165">
          <cell r="A165" t="str">
            <v>XBD</v>
          </cell>
          <cell r="B165" t="str">
            <v>Unidad europea de cuenta 17 (E.U.A.-17) (Unidad del mercado de bonos)</v>
          </cell>
        </row>
        <row r="166">
          <cell r="A166" t="str">
            <v>XCD</v>
          </cell>
          <cell r="B166" t="str">
            <v>Dólar del Caribe Oriental</v>
          </cell>
        </row>
        <row r="167">
          <cell r="A167" t="str">
            <v>XDR</v>
          </cell>
          <cell r="B167" t="str">
            <v>Derechos especiales de giro</v>
          </cell>
        </row>
        <row r="168">
          <cell r="A168" t="str">
            <v>XOF</v>
          </cell>
          <cell r="B168" t="str">
            <v>Franco CFA de África Occidental</v>
          </cell>
        </row>
        <row r="169">
          <cell r="A169" t="str">
            <v>XPD</v>
          </cell>
          <cell r="B169" t="str">
            <v>Paladio (una onza troy)</v>
          </cell>
        </row>
        <row r="170">
          <cell r="A170" t="str">
            <v>XPF</v>
          </cell>
          <cell r="B170" t="str">
            <v>Franco CFP</v>
          </cell>
        </row>
        <row r="171">
          <cell r="A171" t="str">
            <v>XPT</v>
          </cell>
          <cell r="B171" t="str">
            <v>Platino (una onza troy)</v>
          </cell>
        </row>
        <row r="172">
          <cell r="A172" t="str">
            <v>XSU</v>
          </cell>
          <cell r="B172" t="str">
            <v>SUCRE</v>
          </cell>
        </row>
        <row r="173">
          <cell r="A173" t="str">
            <v>XTS</v>
          </cell>
          <cell r="B173" t="str">
            <v>Reservado para pruebas</v>
          </cell>
        </row>
        <row r="174">
          <cell r="A174" t="str">
            <v>XUA</v>
          </cell>
          <cell r="B174" t="str">
            <v>Unidad de cuenta BAD</v>
          </cell>
        </row>
        <row r="175">
          <cell r="A175" t="str">
            <v>XXX</v>
          </cell>
          <cell r="B175" t="str">
            <v>Sin divisa</v>
          </cell>
        </row>
        <row r="176">
          <cell r="A176" t="str">
            <v>YER</v>
          </cell>
          <cell r="B176" t="str">
            <v>Rial yemení</v>
          </cell>
        </row>
        <row r="177">
          <cell r="A177" t="str">
            <v>ZAR</v>
          </cell>
          <cell r="B177" t="str">
            <v>Rand</v>
          </cell>
        </row>
        <row r="178">
          <cell r="A178" t="str">
            <v>ZMW</v>
          </cell>
          <cell r="B178" t="str">
            <v>Kwacha zambiano</v>
          </cell>
        </row>
        <row r="179">
          <cell r="A179" t="str">
            <v>ZWL</v>
          </cell>
          <cell r="B179" t="str">
            <v>Dólar zimbabuense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tivo"/>
      <sheetName val="Balance (2)"/>
      <sheetName val="Resultado (2)"/>
      <sheetName val="Balance"/>
      <sheetName val="Resultado"/>
      <sheetName val="Calc.Aux."/>
      <sheetName val="Flujo de Efectivo"/>
      <sheetName val="EVPN"/>
    </sheetNames>
    <sheetDataSet>
      <sheetData sheetId="0" refreshError="1"/>
      <sheetData sheetId="1" refreshError="1"/>
      <sheetData sheetId="2" refreshError="1"/>
      <sheetData sheetId="3">
        <row r="51">
          <cell r="G51">
            <v>0</v>
          </cell>
          <cell r="H51">
            <v>0</v>
          </cell>
          <cell r="I51">
            <v>0</v>
          </cell>
        </row>
        <row r="610">
          <cell r="G610">
            <v>15000000000</v>
          </cell>
          <cell r="H610">
            <v>15000000000</v>
          </cell>
          <cell r="I610">
            <v>15000000000</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14.bin"/><Relationship Id="rId4" Type="http://schemas.openxmlformats.org/officeDocument/2006/relationships/comments" Target="../comments1.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4"/>
  <sheetViews>
    <sheetView showGridLines="0" topLeftCell="A64" zoomScale="115" zoomScaleNormal="115" workbookViewId="0">
      <selection activeCell="B7" sqref="B7"/>
    </sheetView>
  </sheetViews>
  <sheetFormatPr baseColWidth="10" defaultColWidth="11.28515625" defaultRowHeight="12.75"/>
  <cols>
    <col min="1" max="1" width="9.28515625" style="1" customWidth="1"/>
    <col min="2" max="2" width="10.140625" style="1" bestFit="1" customWidth="1"/>
    <col min="3" max="3" width="54.7109375" style="1" customWidth="1"/>
    <col min="4" max="4" width="14.85546875" style="3" customWidth="1"/>
    <col min="5" max="5" width="49.85546875" style="1" bestFit="1" customWidth="1"/>
    <col min="6" max="6" width="6.7109375" style="1" bestFit="1" customWidth="1"/>
    <col min="7" max="16384" width="11.28515625" style="1"/>
  </cols>
  <sheetData>
    <row r="1" spans="1:20" ht="15">
      <c r="B1" s="23" t="s">
        <v>112</v>
      </c>
      <c r="C1"/>
      <c r="D1"/>
    </row>
    <row r="2" spans="1:20" ht="14.45" customHeight="1">
      <c r="B2"/>
      <c r="C2" s="702" t="s">
        <v>930</v>
      </c>
      <c r="D2" s="702"/>
      <c r="E2" s="24"/>
      <c r="S2" s="1">
        <v>1</v>
      </c>
      <c r="T2" s="1" t="s">
        <v>0</v>
      </c>
    </row>
    <row r="3" spans="1:20" ht="15">
      <c r="B3" s="23"/>
      <c r="C3"/>
      <c r="D3"/>
      <c r="S3" s="1">
        <v>2</v>
      </c>
      <c r="T3" s="1" t="s">
        <v>1</v>
      </c>
    </row>
    <row r="4" spans="1:20">
      <c r="S4" s="1">
        <v>4</v>
      </c>
      <c r="T4" s="1" t="s">
        <v>2</v>
      </c>
    </row>
    <row r="5" spans="1:20">
      <c r="A5" s="2"/>
      <c r="B5" s="701" t="s">
        <v>2549</v>
      </c>
      <c r="C5" s="701"/>
      <c r="D5" s="701"/>
      <c r="S5" s="1">
        <v>5</v>
      </c>
      <c r="T5" s="1" t="s">
        <v>3</v>
      </c>
    </row>
    <row r="6" spans="1:20" ht="12.75" hidden="1" customHeight="1">
      <c r="A6" s="4"/>
      <c r="B6" s="22" t="s">
        <v>111</v>
      </c>
      <c r="C6" s="4"/>
      <c r="D6" s="5"/>
      <c r="S6" s="1">
        <v>6</v>
      </c>
      <c r="T6" s="1" t="s">
        <v>4</v>
      </c>
    </row>
    <row r="7" spans="1:20">
      <c r="A7" s="6"/>
      <c r="S7" s="1">
        <v>7</v>
      </c>
      <c r="T7" s="1" t="s">
        <v>5</v>
      </c>
    </row>
    <row r="8" spans="1:20" ht="26.45" customHeight="1">
      <c r="B8" s="7"/>
      <c r="C8" s="8" t="s">
        <v>6</v>
      </c>
      <c r="D8" s="9" t="s">
        <v>7</v>
      </c>
      <c r="S8" s="1">
        <v>8</v>
      </c>
      <c r="T8" s="1" t="s">
        <v>8</v>
      </c>
    </row>
    <row r="9" spans="1:20" ht="26.45" customHeight="1">
      <c r="B9" s="10" t="s">
        <v>9</v>
      </c>
      <c r="C9" s="11"/>
      <c r="D9" s="12"/>
      <c r="S9" s="1">
        <v>9</v>
      </c>
      <c r="T9" s="1" t="s">
        <v>10</v>
      </c>
    </row>
    <row r="10" spans="1:20" ht="15">
      <c r="A10" s="3"/>
      <c r="B10" s="13"/>
      <c r="C10" s="1" t="s">
        <v>11</v>
      </c>
      <c r="D10" s="14" t="s">
        <v>12</v>
      </c>
      <c r="S10" s="1">
        <v>10</v>
      </c>
      <c r="T10" s="1" t="s">
        <v>13</v>
      </c>
    </row>
    <row r="11" spans="1:20" ht="15">
      <c r="A11" s="3"/>
      <c r="B11" s="13"/>
      <c r="C11" s="1" t="s">
        <v>14</v>
      </c>
      <c r="D11" s="15" t="s">
        <v>15</v>
      </c>
      <c r="S11" s="1">
        <v>11</v>
      </c>
      <c r="T11" s="1" t="s">
        <v>16</v>
      </c>
    </row>
    <row r="12" spans="1:20" ht="15">
      <c r="A12" s="3"/>
      <c r="B12" s="10" t="s">
        <v>17</v>
      </c>
      <c r="D12" s="14" t="s">
        <v>18</v>
      </c>
      <c r="S12" s="1">
        <v>12</v>
      </c>
      <c r="T12" s="1" t="s">
        <v>19</v>
      </c>
    </row>
    <row r="13" spans="1:20">
      <c r="A13" s="3"/>
      <c r="B13" s="13"/>
      <c r="C13" s="1" t="s">
        <v>20</v>
      </c>
      <c r="D13" s="16" t="s">
        <v>21</v>
      </c>
    </row>
    <row r="14" spans="1:20">
      <c r="A14" s="3"/>
      <c r="B14" s="13"/>
      <c r="C14" s="1" t="s">
        <v>22</v>
      </c>
      <c r="D14" s="16" t="s">
        <v>23</v>
      </c>
    </row>
    <row r="15" spans="1:20">
      <c r="A15" s="3"/>
      <c r="B15" s="13"/>
      <c r="C15" s="1" t="s">
        <v>24</v>
      </c>
      <c r="D15" s="16" t="s">
        <v>25</v>
      </c>
    </row>
    <row r="16" spans="1:20">
      <c r="A16" s="3"/>
      <c r="B16" s="13"/>
      <c r="C16" s="1" t="s">
        <v>26</v>
      </c>
      <c r="D16" s="16" t="s">
        <v>27</v>
      </c>
    </row>
    <row r="17" spans="1:4" ht="15">
      <c r="A17" s="3"/>
      <c r="B17" s="13"/>
      <c r="C17" s="1" t="s">
        <v>24</v>
      </c>
      <c r="D17" s="15" t="s">
        <v>25</v>
      </c>
    </row>
    <row r="18" spans="1:4">
      <c r="A18" s="3"/>
      <c r="B18" s="13"/>
      <c r="C18" s="1" t="s">
        <v>28</v>
      </c>
      <c r="D18" s="16" t="s">
        <v>29</v>
      </c>
    </row>
    <row r="19" spans="1:4">
      <c r="A19" s="3"/>
      <c r="B19" s="13"/>
      <c r="C19" s="1" t="s">
        <v>30</v>
      </c>
      <c r="D19" s="16" t="s">
        <v>31</v>
      </c>
    </row>
    <row r="20" spans="1:4">
      <c r="A20" s="3"/>
      <c r="B20" s="13"/>
      <c r="C20" s="1" t="s">
        <v>32</v>
      </c>
      <c r="D20" s="16" t="s">
        <v>33</v>
      </c>
    </row>
    <row r="21" spans="1:4">
      <c r="A21" s="3"/>
      <c r="B21" s="13"/>
      <c r="C21" s="1" t="s">
        <v>34</v>
      </c>
      <c r="D21" s="16" t="s">
        <v>35</v>
      </c>
    </row>
    <row r="22" spans="1:4" ht="15">
      <c r="A22" s="3"/>
      <c r="B22" s="13"/>
      <c r="C22" s="1" t="s">
        <v>36</v>
      </c>
      <c r="D22" s="15" t="s">
        <v>37</v>
      </c>
    </row>
    <row r="23" spans="1:4" ht="15">
      <c r="A23" s="3"/>
      <c r="B23" s="13"/>
      <c r="C23" s="1" t="s">
        <v>38</v>
      </c>
      <c r="D23" s="14" t="s">
        <v>39</v>
      </c>
    </row>
    <row r="24" spans="1:4" ht="15">
      <c r="A24" s="3"/>
      <c r="B24" s="13"/>
      <c r="C24" s="1" t="s">
        <v>40</v>
      </c>
      <c r="D24" s="15" t="s">
        <v>41</v>
      </c>
    </row>
    <row r="25" spans="1:4">
      <c r="A25" s="3"/>
      <c r="B25" s="13"/>
      <c r="C25" s="1" t="s">
        <v>42</v>
      </c>
      <c r="D25" s="16" t="s">
        <v>43</v>
      </c>
    </row>
    <row r="26" spans="1:4">
      <c r="A26" s="3"/>
      <c r="B26" s="13"/>
      <c r="C26" s="1" t="s">
        <v>44</v>
      </c>
      <c r="D26" s="16" t="s">
        <v>45</v>
      </c>
    </row>
    <row r="27" spans="1:4">
      <c r="A27" s="3"/>
      <c r="B27" s="13"/>
      <c r="C27" s="1" t="s">
        <v>46</v>
      </c>
      <c r="D27" s="16" t="s">
        <v>47</v>
      </c>
    </row>
    <row r="28" spans="1:4" ht="15">
      <c r="A28" s="3"/>
      <c r="B28" s="13"/>
      <c r="C28" s="1" t="s">
        <v>48</v>
      </c>
      <c r="D28" s="15" t="s">
        <v>49</v>
      </c>
    </row>
    <row r="29" spans="1:4" ht="15">
      <c r="A29" s="3"/>
      <c r="B29" s="13"/>
      <c r="C29" s="1" t="s">
        <v>50</v>
      </c>
      <c r="D29" s="15" t="s">
        <v>51</v>
      </c>
    </row>
    <row r="30" spans="1:4" ht="15">
      <c r="A30" s="3"/>
      <c r="B30" s="13"/>
      <c r="C30" s="1" t="s">
        <v>52</v>
      </c>
      <c r="D30" s="15" t="s">
        <v>53</v>
      </c>
    </row>
    <row r="31" spans="1:4" ht="15">
      <c r="A31" s="3"/>
      <c r="B31" s="13"/>
      <c r="C31" s="1" t="s">
        <v>54</v>
      </c>
      <c r="D31" s="15" t="s">
        <v>43</v>
      </c>
    </row>
    <row r="32" spans="1:4" ht="15">
      <c r="A32" s="3"/>
      <c r="B32" s="13"/>
      <c r="C32" s="1" t="s">
        <v>55</v>
      </c>
      <c r="D32" s="15" t="s">
        <v>53</v>
      </c>
    </row>
    <row r="33" spans="1:4" ht="15">
      <c r="A33" s="3"/>
      <c r="B33" s="13"/>
      <c r="C33" s="1" t="s">
        <v>56</v>
      </c>
      <c r="D33" s="15" t="s">
        <v>57</v>
      </c>
    </row>
    <row r="34" spans="1:4" ht="15">
      <c r="A34" s="3"/>
      <c r="B34" s="13"/>
      <c r="C34" s="1" t="s">
        <v>58</v>
      </c>
      <c r="D34" s="15" t="s">
        <v>59</v>
      </c>
    </row>
    <row r="35" spans="1:4" ht="15">
      <c r="A35" s="3"/>
      <c r="B35" s="13"/>
      <c r="C35" s="1" t="s">
        <v>60</v>
      </c>
      <c r="D35" s="15" t="s">
        <v>59</v>
      </c>
    </row>
    <row r="36" spans="1:4" ht="15">
      <c r="A36" s="3"/>
      <c r="B36" s="13"/>
      <c r="C36" s="1" t="s">
        <v>61</v>
      </c>
      <c r="D36" s="15" t="s">
        <v>59</v>
      </c>
    </row>
    <row r="37" spans="1:4" ht="15">
      <c r="A37" s="3"/>
      <c r="B37" s="13"/>
      <c r="C37" s="1" t="s">
        <v>62</v>
      </c>
      <c r="D37" s="15" t="s">
        <v>59</v>
      </c>
    </row>
    <row r="38" spans="1:4" ht="15">
      <c r="A38" s="3"/>
      <c r="B38" s="13"/>
      <c r="C38" s="1" t="s">
        <v>63</v>
      </c>
      <c r="D38" s="15" t="s">
        <v>64</v>
      </c>
    </row>
    <row r="39" spans="1:4" ht="15">
      <c r="A39" s="3"/>
      <c r="B39" s="13"/>
      <c r="C39" s="1" t="s">
        <v>65</v>
      </c>
      <c r="D39" s="15" t="s">
        <v>66</v>
      </c>
    </row>
    <row r="40" spans="1:4" ht="15">
      <c r="A40" s="3"/>
      <c r="B40" s="13"/>
      <c r="C40" s="1" t="s">
        <v>67</v>
      </c>
      <c r="D40" s="15" t="s">
        <v>68</v>
      </c>
    </row>
    <row r="41" spans="1:4" ht="15">
      <c r="A41" s="3"/>
      <c r="B41" s="10" t="s">
        <v>69</v>
      </c>
      <c r="D41" s="14" t="s">
        <v>70</v>
      </c>
    </row>
    <row r="42" spans="1:4" ht="15">
      <c r="A42" s="3"/>
      <c r="B42" s="13"/>
      <c r="C42" s="1" t="s">
        <v>71</v>
      </c>
      <c r="D42" s="15" t="s">
        <v>72</v>
      </c>
    </row>
    <row r="43" spans="1:4" ht="15">
      <c r="A43" s="3"/>
      <c r="B43" s="13"/>
      <c r="C43" s="1" t="s">
        <v>73</v>
      </c>
      <c r="D43" s="15" t="s">
        <v>74</v>
      </c>
    </row>
    <row r="44" spans="1:4" ht="15">
      <c r="A44" s="3"/>
      <c r="B44" s="13"/>
      <c r="C44" s="1" t="s">
        <v>75</v>
      </c>
      <c r="D44" s="15" t="s">
        <v>76</v>
      </c>
    </row>
    <row r="45" spans="1:4" ht="15">
      <c r="A45" s="3"/>
      <c r="B45" s="13"/>
      <c r="C45" s="1" t="s">
        <v>77</v>
      </c>
      <c r="D45" s="15" t="s">
        <v>76</v>
      </c>
    </row>
    <row r="46" spans="1:4" ht="15">
      <c r="A46" s="3"/>
      <c r="B46" s="13"/>
      <c r="C46" s="1" t="s">
        <v>78</v>
      </c>
      <c r="D46" s="15" t="s">
        <v>79</v>
      </c>
    </row>
    <row r="47" spans="1:4" ht="15">
      <c r="A47" s="3"/>
      <c r="B47" s="13"/>
      <c r="C47" s="1" t="s">
        <v>80</v>
      </c>
      <c r="D47" s="15" t="s">
        <v>81</v>
      </c>
    </row>
    <row r="48" spans="1:4" ht="15">
      <c r="A48" s="3"/>
      <c r="B48" s="13"/>
      <c r="C48" s="1" t="s">
        <v>82</v>
      </c>
      <c r="D48" s="15" t="s">
        <v>81</v>
      </c>
    </row>
    <row r="49" spans="1:4" ht="15">
      <c r="A49" s="3"/>
      <c r="B49" s="13"/>
      <c r="C49" s="1" t="s">
        <v>83</v>
      </c>
      <c r="D49" s="15" t="s">
        <v>84</v>
      </c>
    </row>
    <row r="50" spans="1:4" ht="15">
      <c r="A50" s="3"/>
      <c r="B50" s="13"/>
      <c r="C50" s="1" t="s">
        <v>85</v>
      </c>
      <c r="D50" s="15" t="s">
        <v>86</v>
      </c>
    </row>
    <row r="51" spans="1:4" ht="15">
      <c r="A51" s="3"/>
      <c r="B51" s="13"/>
      <c r="C51" s="1" t="s">
        <v>87</v>
      </c>
      <c r="D51" s="15" t="s">
        <v>88</v>
      </c>
    </row>
    <row r="52" spans="1:4" ht="15">
      <c r="A52" s="3"/>
      <c r="B52" s="13"/>
      <c r="C52" s="1" t="s">
        <v>89</v>
      </c>
      <c r="D52" s="15" t="s">
        <v>90</v>
      </c>
    </row>
    <row r="53" spans="1:4" ht="15">
      <c r="A53" s="3"/>
      <c r="B53" s="13"/>
      <c r="C53" s="1" t="s">
        <v>91</v>
      </c>
      <c r="D53" s="15" t="s">
        <v>92</v>
      </c>
    </row>
    <row r="54" spans="1:4" ht="15">
      <c r="A54" s="3"/>
      <c r="B54" s="13"/>
      <c r="C54" s="1" t="s">
        <v>93</v>
      </c>
      <c r="D54" s="15" t="s">
        <v>94</v>
      </c>
    </row>
    <row r="55" spans="1:4" ht="15">
      <c r="A55" s="3"/>
      <c r="B55" s="13"/>
      <c r="C55" s="1" t="s">
        <v>95</v>
      </c>
      <c r="D55" s="14" t="s">
        <v>94</v>
      </c>
    </row>
    <row r="56" spans="1:4" ht="15">
      <c r="A56" s="3"/>
      <c r="B56" s="10" t="s">
        <v>96</v>
      </c>
      <c r="D56" s="14" t="s">
        <v>97</v>
      </c>
    </row>
    <row r="57" spans="1:4" ht="15">
      <c r="A57" s="3"/>
      <c r="B57" s="10" t="s">
        <v>98</v>
      </c>
      <c r="D57" s="15" t="s">
        <v>99</v>
      </c>
    </row>
    <row r="58" spans="1:4" ht="15">
      <c r="A58" s="3"/>
      <c r="B58" s="10" t="s">
        <v>100</v>
      </c>
      <c r="D58" s="15"/>
    </row>
    <row r="59" spans="1:4" ht="15">
      <c r="A59" s="3"/>
      <c r="B59" s="13"/>
      <c r="C59" s="1" t="s">
        <v>101</v>
      </c>
      <c r="D59" s="14" t="s">
        <v>102</v>
      </c>
    </row>
    <row r="60" spans="1:4" ht="15">
      <c r="A60" s="3"/>
      <c r="B60" s="13"/>
      <c r="C60" s="1" t="s">
        <v>103</v>
      </c>
      <c r="D60" s="14" t="s">
        <v>104</v>
      </c>
    </row>
    <row r="61" spans="1:4" ht="15">
      <c r="A61" s="3"/>
      <c r="B61" s="13"/>
      <c r="C61" s="1" t="s">
        <v>105</v>
      </c>
      <c r="D61" s="14" t="s">
        <v>106</v>
      </c>
    </row>
    <row r="62" spans="1:4" ht="15">
      <c r="A62" s="3"/>
      <c r="B62" s="13"/>
      <c r="C62" s="1" t="s">
        <v>107</v>
      </c>
      <c r="D62" s="14" t="s">
        <v>108</v>
      </c>
    </row>
    <row r="63" spans="1:4" ht="15">
      <c r="A63" s="3"/>
      <c r="B63" s="17"/>
      <c r="C63" s="18" t="s">
        <v>109</v>
      </c>
      <c r="D63" s="19" t="s">
        <v>110</v>
      </c>
    </row>
    <row r="64" spans="1:4" ht="21.2" customHeight="1">
      <c r="A64" s="20"/>
      <c r="D64" s="21"/>
    </row>
  </sheetData>
  <mergeCells count="2">
    <mergeCell ref="B5:D5"/>
    <mergeCell ref="C2:D2"/>
  </mergeCells>
  <hyperlinks>
    <hyperlink ref="D13" location="'Nota 3'!A1" display="'Nota 3'!A1" xr:uid="{00000000-0004-0000-0000-000000000000}"/>
    <hyperlink ref="D14" location="'Nota 4'!A1" display="'Nota 4'!A1" xr:uid="{00000000-0004-0000-0000-000001000000}"/>
    <hyperlink ref="D15" location="'Nota 5'!A1" display="'Nota 5'!A1" xr:uid="{00000000-0004-0000-0000-000002000000}"/>
    <hyperlink ref="D16" location="'Nota 6'!A1" display="'Nota 6'!A1" xr:uid="{00000000-0004-0000-0000-000003000000}"/>
    <hyperlink ref="D18" location="'Nota 7'!A1" display="'Nota 7'!A1" xr:uid="{00000000-0004-0000-0000-000004000000}"/>
    <hyperlink ref="D20" location="'Nota 9'!A1" display="'Nota 9'!A1" xr:uid="{00000000-0004-0000-0000-000005000000}"/>
    <hyperlink ref="D21" location="'Nota 10'!A1" display="'Nota 10'!A1" xr:uid="{00000000-0004-0000-0000-000006000000}"/>
    <hyperlink ref="D25" location="'Nota 14'!A1" display="'Nota 14'!A1" xr:uid="{00000000-0004-0000-0000-000007000000}"/>
    <hyperlink ref="D26" location="'Nota 15'!A1" display="'Nota 15'!A1" xr:uid="{00000000-0004-0000-0000-000008000000}"/>
    <hyperlink ref="D27" location="'Nota 16'!A1" display="'Nota 16'!A1" xr:uid="{00000000-0004-0000-0000-000009000000}"/>
    <hyperlink ref="D19" location="'Nota 8'!A1" display="'Nota 8'!A1" xr:uid="{00000000-0004-0000-0000-00000A000000}"/>
    <hyperlink ref="D12" location="BG!A1" display="BG" xr:uid="{00000000-0004-0000-0000-00000B000000}"/>
    <hyperlink ref="D41" location="ER!A1" display="ER" xr:uid="{00000000-0004-0000-0000-00000C000000}"/>
    <hyperlink ref="D56" location="EVPN!A1" display="EVPN" xr:uid="{00000000-0004-0000-0000-00000D000000}"/>
    <hyperlink ref="D57" location="EFE!A1" display="EFE" xr:uid="{00000000-0004-0000-0000-00000E000000}"/>
    <hyperlink ref="D22" location="'Nota 11'!A1" display="Nota 11 y 12" xr:uid="{00000000-0004-0000-0000-00000F000000}"/>
    <hyperlink ref="D23" location="'Nota 12'!A1" display="Nota 12" xr:uid="{00000000-0004-0000-0000-000010000000}"/>
    <hyperlink ref="D24" location="'Nota 13'!A1" display="Nota 13'" xr:uid="{00000000-0004-0000-0000-000011000000}"/>
    <hyperlink ref="D28" location="'Nota 17'!A1" display="Nota 17" xr:uid="{00000000-0004-0000-0000-000012000000}"/>
    <hyperlink ref="D29" location="'Nota 18'!A1" display="Nota 18" xr:uid="{00000000-0004-0000-0000-000013000000}"/>
    <hyperlink ref="D30" location="'Nota 19'!A1" display="Nota 19" xr:uid="{00000000-0004-0000-0000-000014000000}"/>
    <hyperlink ref="D31" location="'Nota 14'!A1" display="Nota 14" xr:uid="{00000000-0004-0000-0000-000015000000}"/>
    <hyperlink ref="D32" location="'Nota 19'!A1" display="Nota 19" xr:uid="{00000000-0004-0000-0000-000016000000}"/>
    <hyperlink ref="D33" location="'Nota 20'!A1" display="Nota 20" xr:uid="{00000000-0004-0000-0000-000017000000}"/>
    <hyperlink ref="D34" location="' Nota 21'!A1" display="Nota 21" xr:uid="{00000000-0004-0000-0000-000018000000}"/>
    <hyperlink ref="D35" location="' Nota 21'!A1" display="Nota 21" xr:uid="{00000000-0004-0000-0000-000019000000}"/>
    <hyperlink ref="D36" location="' Nota 21'!A1" display="Nota 21" xr:uid="{00000000-0004-0000-0000-00001A000000}"/>
    <hyperlink ref="D37" location="' Nota 21'!A1" display="Nota 21" xr:uid="{00000000-0004-0000-0000-00001B000000}"/>
    <hyperlink ref="D38" location="'Nota 22'!A1" display="Nota 22" xr:uid="{00000000-0004-0000-0000-00001C000000}"/>
    <hyperlink ref="D39" location="'Nota 23'!A1" display="Nota 23" xr:uid="{00000000-0004-0000-0000-00001D000000}"/>
    <hyperlink ref="D40" location="'Nota 24'!A1" display="Nota 24" xr:uid="{00000000-0004-0000-0000-00001E000000}"/>
    <hyperlink ref="D42" location="'Nota 25'!A1" display="Nota 25" xr:uid="{00000000-0004-0000-0000-00001F000000}"/>
    <hyperlink ref="D43" location="'Nota 26'!A1" display="Nota 26" xr:uid="{00000000-0004-0000-0000-000020000000}"/>
    <hyperlink ref="D44" location="'Nota 27'!A1" display="Nota 27" xr:uid="{00000000-0004-0000-0000-000021000000}"/>
    <hyperlink ref="D45" location="'Nota 27'!A1" display="N ota 27" xr:uid="{00000000-0004-0000-0000-000022000000}"/>
    <hyperlink ref="D46" location="'Nota 28'!A1" display="Nota 28" xr:uid="{00000000-0004-0000-0000-000023000000}"/>
    <hyperlink ref="D47" location="'Nota 29'!A1" display="Nota 29" xr:uid="{00000000-0004-0000-0000-000024000000}"/>
    <hyperlink ref="D48" location="'Nota 29'!A1" display="Nota 29" xr:uid="{00000000-0004-0000-0000-000025000000}"/>
    <hyperlink ref="D49" location="'Nota 30'!A1" display="Nota 30" xr:uid="{00000000-0004-0000-0000-000026000000}"/>
    <hyperlink ref="D50" location="'Nota 31'!A1" display="Nota 31" xr:uid="{00000000-0004-0000-0000-000027000000}"/>
    <hyperlink ref="D51" location="'Nota 32'!A1" display="Nota 32" xr:uid="{00000000-0004-0000-0000-000028000000}"/>
    <hyperlink ref="D52" location="'Nota 33'!A1" display="Nota 33" xr:uid="{00000000-0004-0000-0000-000029000000}"/>
    <hyperlink ref="D53" location="'Nota 34'!A1" display="Nota 34" xr:uid="{00000000-0004-0000-0000-00002A000000}"/>
    <hyperlink ref="D54" location="'Nota 35'!A1" display="Nota 35" xr:uid="{00000000-0004-0000-0000-00002B000000}"/>
    <hyperlink ref="D55" location="'Nota 35'!A1" display="Nota 35" xr:uid="{00000000-0004-0000-0000-00002C000000}"/>
    <hyperlink ref="D60" location="'Nota 37'!A1" display="Nota 37" xr:uid="{00000000-0004-0000-0000-00002D000000}"/>
    <hyperlink ref="D59" location="'Nota 36'!A1" display="Nota 36" xr:uid="{00000000-0004-0000-0000-00002E000000}"/>
    <hyperlink ref="D11" location="'Nota 2'!A1" display="Nota 2" xr:uid="{00000000-0004-0000-0000-00002F000000}"/>
    <hyperlink ref="D10" location="Nota1!A1" display="Nota 1" xr:uid="{00000000-0004-0000-0000-000030000000}"/>
    <hyperlink ref="D17" location="'Nota 5'!A1" display="Nota 5" xr:uid="{00000000-0004-0000-0000-000031000000}"/>
    <hyperlink ref="D63" location="'Nota 40'!A1" display="Nota 40" xr:uid="{00000000-0004-0000-0000-000032000000}"/>
    <hyperlink ref="D62" location="'Nota 39'!A1" display="Nota 39" xr:uid="{00000000-0004-0000-0000-000033000000}"/>
    <hyperlink ref="D61" location="'Nota 38'!A1" display="Nota 38" xr:uid="{00000000-0004-0000-0000-000034000000}"/>
  </hyperlinks>
  <pageMargins left="0.25" right="0.25" top="0.75" bottom="0.75" header="0.3" footer="0.3"/>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499984740745262"/>
    <pageSetUpPr fitToPage="1"/>
  </sheetPr>
  <dimension ref="B1:M50"/>
  <sheetViews>
    <sheetView showGridLines="0" topLeftCell="A7" zoomScaleNormal="100" workbookViewId="0">
      <selection activeCell="B16" sqref="B16:G16"/>
    </sheetView>
  </sheetViews>
  <sheetFormatPr baseColWidth="10" defaultColWidth="11.28515625" defaultRowHeight="14.25"/>
  <cols>
    <col min="1" max="1" width="4.5703125" style="106" customWidth="1"/>
    <col min="2" max="2" width="10" style="106" customWidth="1"/>
    <col min="3" max="3" width="18.7109375" style="106" customWidth="1"/>
    <col min="4" max="4" width="29.7109375" style="106" customWidth="1"/>
    <col min="5" max="5" width="25.85546875" style="106" customWidth="1"/>
    <col min="6" max="6" width="24.28515625" style="106" customWidth="1"/>
    <col min="7" max="7" width="22.42578125" style="106" customWidth="1"/>
    <col min="8" max="8" width="2.85546875" style="106" customWidth="1"/>
    <col min="9" max="9" width="4.28515625" style="106" customWidth="1"/>
    <col min="10" max="10" width="14.140625" style="106" customWidth="1"/>
    <col min="11" max="16384" width="11.28515625" style="106"/>
  </cols>
  <sheetData>
    <row r="1" spans="2:13" ht="15" customHeight="1">
      <c r="B1" s="726"/>
      <c r="C1" s="726"/>
      <c r="D1" s="726"/>
      <c r="E1" s="726"/>
      <c r="F1" s="726"/>
      <c r="G1" s="726"/>
      <c r="H1" s="726"/>
      <c r="J1" s="124" t="s">
        <v>18</v>
      </c>
    </row>
    <row r="5" spans="2:13" ht="15" customHeight="1"/>
    <row r="6" spans="2:13" ht="15" customHeight="1">
      <c r="B6" s="125" t="s">
        <v>2091</v>
      </c>
      <c r="C6" s="125"/>
      <c r="D6" s="125"/>
      <c r="E6" s="125"/>
      <c r="F6" s="125"/>
      <c r="G6" s="125"/>
      <c r="H6" s="125"/>
      <c r="I6" s="125"/>
      <c r="J6" s="125"/>
      <c r="K6" s="126"/>
      <c r="L6" s="126"/>
      <c r="M6" s="126"/>
    </row>
    <row r="7" spans="2:13" ht="15" customHeight="1">
      <c r="B7" s="126" t="s">
        <v>2092</v>
      </c>
      <c r="C7" s="126"/>
      <c r="D7" s="126"/>
      <c r="E7" s="126"/>
      <c r="F7" s="126"/>
      <c r="G7" s="126"/>
      <c r="H7" s="126"/>
      <c r="I7" s="126"/>
      <c r="J7" s="126"/>
      <c r="K7" s="126"/>
      <c r="L7" s="126"/>
      <c r="M7" s="126"/>
    </row>
    <row r="8" spans="2:13" ht="15" customHeight="1">
      <c r="B8" s="727" t="s">
        <v>1715</v>
      </c>
      <c r="C8" s="727"/>
      <c r="D8" s="727"/>
      <c r="E8" s="727"/>
      <c r="F8" s="727"/>
      <c r="G8" s="727"/>
      <c r="H8" s="727"/>
      <c r="I8" s="727"/>
      <c r="J8" s="727"/>
      <c r="K8" s="127"/>
      <c r="L8" s="127"/>
      <c r="M8" s="127"/>
    </row>
    <row r="9" spans="2:13" ht="15" customHeight="1">
      <c r="B9" s="127"/>
      <c r="C9" s="127"/>
      <c r="D9" s="127"/>
      <c r="E9" s="127"/>
      <c r="F9" s="127"/>
      <c r="G9" s="127"/>
      <c r="H9" s="127"/>
      <c r="I9" s="127"/>
      <c r="J9" s="127"/>
      <c r="K9" s="127"/>
      <c r="L9" s="127"/>
      <c r="M9" s="127"/>
    </row>
    <row r="10" spans="2:13" ht="15" customHeight="1"/>
    <row r="11" spans="2:13" ht="15" customHeight="1">
      <c r="B11" s="128" t="s">
        <v>196</v>
      </c>
      <c r="C11" s="129"/>
      <c r="D11" s="129"/>
      <c r="E11" s="129"/>
      <c r="F11" s="129"/>
      <c r="G11" s="129"/>
      <c r="H11" s="129"/>
      <c r="I11" s="129"/>
      <c r="J11" s="130"/>
      <c r="K11" s="728"/>
      <c r="L11" s="727"/>
      <c r="M11" s="727"/>
    </row>
    <row r="12" spans="2:13" ht="15" customHeight="1">
      <c r="B12" s="106" t="s">
        <v>197</v>
      </c>
    </row>
    <row r="13" spans="2:13" ht="15" thickBot="1"/>
    <row r="14" spans="2:13">
      <c r="B14" s="742"/>
      <c r="C14" s="743"/>
      <c r="D14" s="743"/>
      <c r="E14" s="743"/>
      <c r="F14" s="743"/>
      <c r="G14" s="744"/>
    </row>
    <row r="15" spans="2:13" ht="18" customHeight="1">
      <c r="B15" s="745" t="s">
        <v>2093</v>
      </c>
      <c r="C15" s="746"/>
      <c r="D15" s="746"/>
      <c r="E15" s="746"/>
      <c r="F15" s="746"/>
      <c r="G15" s="747"/>
    </row>
    <row r="16" spans="2:13" ht="15" thickBot="1">
      <c r="B16" s="748"/>
      <c r="C16" s="749"/>
      <c r="D16" s="749"/>
      <c r="E16" s="749"/>
      <c r="F16" s="749"/>
      <c r="G16" s="750"/>
    </row>
    <row r="17" spans="2:7">
      <c r="B17" s="733"/>
      <c r="C17" s="735"/>
      <c r="D17" s="733"/>
      <c r="E17" s="734"/>
      <c r="F17" s="734"/>
      <c r="G17" s="735"/>
    </row>
    <row r="18" spans="2:7">
      <c r="B18" s="729" t="s">
        <v>854</v>
      </c>
      <c r="C18" s="730"/>
      <c r="D18" s="736" t="s">
        <v>932</v>
      </c>
      <c r="E18" s="737"/>
      <c r="F18" s="737"/>
      <c r="G18" s="738"/>
    </row>
    <row r="19" spans="2:7" ht="15" thickBot="1">
      <c r="B19" s="731"/>
      <c r="C19" s="732"/>
      <c r="D19" s="739" t="s">
        <v>933</v>
      </c>
      <c r="E19" s="740"/>
      <c r="F19" s="740"/>
      <c r="G19" s="741"/>
    </row>
    <row r="20" spans="2:7">
      <c r="B20" s="733"/>
      <c r="C20" s="735"/>
      <c r="D20" s="733"/>
      <c r="E20" s="734"/>
      <c r="F20" s="734"/>
      <c r="G20" s="735"/>
    </row>
    <row r="21" spans="2:7" ht="13.9" customHeight="1">
      <c r="B21" s="729" t="s">
        <v>855</v>
      </c>
      <c r="C21" s="730"/>
      <c r="D21" s="736" t="s">
        <v>934</v>
      </c>
      <c r="E21" s="737"/>
      <c r="F21" s="737"/>
      <c r="G21" s="738"/>
    </row>
    <row r="22" spans="2:7" ht="15" thickBot="1">
      <c r="B22" s="731"/>
      <c r="C22" s="732"/>
      <c r="D22" s="739" t="s">
        <v>935</v>
      </c>
      <c r="E22" s="740"/>
      <c r="F22" s="740"/>
      <c r="G22" s="741"/>
    </row>
    <row r="23" spans="2:7">
      <c r="B23" s="733"/>
      <c r="C23" s="735"/>
      <c r="D23" s="733"/>
      <c r="E23" s="734"/>
      <c r="F23" s="734"/>
      <c r="G23" s="735"/>
    </row>
    <row r="24" spans="2:7" ht="20.45" customHeight="1">
      <c r="B24" s="729" t="s">
        <v>856</v>
      </c>
      <c r="C24" s="730"/>
      <c r="D24" s="751" t="s">
        <v>936</v>
      </c>
      <c r="E24" s="752"/>
      <c r="F24" s="752"/>
      <c r="G24" s="753"/>
    </row>
    <row r="25" spans="2:7" ht="15.75" thickBot="1">
      <c r="B25" s="731"/>
      <c r="C25" s="732"/>
      <c r="D25" s="754"/>
      <c r="E25" s="755"/>
      <c r="F25" s="755"/>
      <c r="G25" s="756"/>
    </row>
    <row r="26" spans="2:7">
      <c r="B26" s="733"/>
      <c r="C26" s="735"/>
      <c r="D26" s="757"/>
      <c r="E26" s="758"/>
      <c r="F26" s="758"/>
      <c r="G26" s="759"/>
    </row>
    <row r="27" spans="2:7" ht="24" customHeight="1">
      <c r="B27" s="729"/>
      <c r="C27" s="730"/>
      <c r="D27" s="760" t="s">
        <v>937</v>
      </c>
      <c r="E27" s="761"/>
      <c r="F27" s="761"/>
      <c r="G27" s="762"/>
    </row>
    <row r="28" spans="2:7">
      <c r="B28" s="729"/>
      <c r="C28" s="730"/>
      <c r="D28" s="760"/>
      <c r="E28" s="761"/>
      <c r="F28" s="761"/>
      <c r="G28" s="762"/>
    </row>
    <row r="29" spans="2:7" ht="72" customHeight="1">
      <c r="B29" s="729" t="s">
        <v>857</v>
      </c>
      <c r="C29" s="730"/>
      <c r="D29" s="760" t="s">
        <v>938</v>
      </c>
      <c r="E29" s="761"/>
      <c r="F29" s="761"/>
      <c r="G29" s="762"/>
    </row>
    <row r="30" spans="2:7" ht="48" customHeight="1">
      <c r="B30" s="729"/>
      <c r="C30" s="730"/>
      <c r="D30" s="760" t="s">
        <v>939</v>
      </c>
      <c r="E30" s="761"/>
      <c r="F30" s="761"/>
      <c r="G30" s="762"/>
    </row>
    <row r="31" spans="2:7" ht="15.75" thickBot="1">
      <c r="B31" s="754"/>
      <c r="C31" s="756"/>
      <c r="D31" s="763"/>
      <c r="E31" s="764"/>
      <c r="F31" s="764"/>
      <c r="G31" s="765"/>
    </row>
    <row r="32" spans="2:7" ht="21.75" customHeight="1">
      <c r="B32" s="733"/>
      <c r="C32" s="735"/>
      <c r="D32" s="647"/>
      <c r="E32" s="648"/>
      <c r="F32" s="648"/>
      <c r="G32" s="649"/>
    </row>
    <row r="33" spans="2:7" ht="40.5" customHeight="1" thickBot="1">
      <c r="B33" s="769" t="s">
        <v>2080</v>
      </c>
      <c r="C33" s="770"/>
      <c r="D33" s="771" t="s">
        <v>2089</v>
      </c>
      <c r="E33" s="772"/>
      <c r="F33" s="772"/>
      <c r="G33" s="773"/>
    </row>
    <row r="34" spans="2:7">
      <c r="B34" s="733"/>
      <c r="C34" s="735"/>
      <c r="D34" s="766"/>
      <c r="E34" s="767"/>
      <c r="F34" s="767"/>
      <c r="G34" s="768"/>
    </row>
    <row r="35" spans="2:7" ht="30.6" customHeight="1" thickBot="1">
      <c r="B35" s="769" t="s">
        <v>858</v>
      </c>
      <c r="C35" s="770"/>
      <c r="D35" s="763" t="s">
        <v>940</v>
      </c>
      <c r="E35" s="764"/>
      <c r="F35" s="764"/>
      <c r="G35" s="765"/>
    </row>
    <row r="36" spans="2:7" ht="13.9" customHeight="1">
      <c r="B36" s="742"/>
      <c r="C36" s="743"/>
      <c r="D36" s="743"/>
      <c r="E36" s="743"/>
      <c r="F36" s="743"/>
      <c r="G36" s="744"/>
    </row>
    <row r="37" spans="2:7">
      <c r="B37" s="781" t="s">
        <v>859</v>
      </c>
      <c r="C37" s="782"/>
      <c r="D37" s="782"/>
      <c r="E37" s="782"/>
      <c r="F37" s="782"/>
      <c r="G37" s="783"/>
    </row>
    <row r="38" spans="2:7" ht="15" thickBot="1">
      <c r="B38" s="748"/>
      <c r="C38" s="749"/>
      <c r="D38" s="749"/>
      <c r="E38" s="749"/>
      <c r="F38" s="749"/>
      <c r="G38" s="750"/>
    </row>
    <row r="39" spans="2:7" ht="14.45" customHeight="1" thickBot="1">
      <c r="B39" s="778" t="s">
        <v>860</v>
      </c>
      <c r="C39" s="779"/>
      <c r="D39" s="779"/>
      <c r="E39" s="779"/>
      <c r="F39" s="779"/>
      <c r="G39" s="780"/>
    </row>
    <row r="40" spans="2:7">
      <c r="B40" s="357"/>
      <c r="C40" s="360"/>
      <c r="D40" s="360"/>
      <c r="E40" s="774" t="s">
        <v>864</v>
      </c>
      <c r="F40" s="360"/>
      <c r="G40" s="360"/>
    </row>
    <row r="41" spans="2:7" ht="14.45" customHeight="1">
      <c r="B41" s="358" t="s">
        <v>861</v>
      </c>
      <c r="C41" s="360"/>
      <c r="D41" s="360"/>
      <c r="E41" s="775"/>
      <c r="F41" s="360" t="s">
        <v>865</v>
      </c>
      <c r="G41" s="360" t="s">
        <v>867</v>
      </c>
    </row>
    <row r="42" spans="2:7" ht="15.75" thickBot="1">
      <c r="B42" s="359"/>
      <c r="C42" s="361" t="s">
        <v>862</v>
      </c>
      <c r="D42" s="361" t="s">
        <v>863</v>
      </c>
      <c r="E42" s="776"/>
      <c r="F42" s="361" t="s">
        <v>866</v>
      </c>
      <c r="G42" s="361" t="s">
        <v>866</v>
      </c>
    </row>
    <row r="43" spans="2:7" ht="13.9" customHeight="1">
      <c r="B43" s="362"/>
      <c r="C43" s="364"/>
      <c r="D43" s="364"/>
      <c r="E43" s="364"/>
      <c r="F43" s="364"/>
      <c r="G43" s="364"/>
    </row>
    <row r="44" spans="2:7">
      <c r="B44" s="363">
        <v>1500</v>
      </c>
      <c r="C44" s="364" t="s">
        <v>868</v>
      </c>
      <c r="D44" s="364" t="s">
        <v>264</v>
      </c>
      <c r="E44" s="364" t="s">
        <v>941</v>
      </c>
      <c r="F44" s="496">
        <v>7500000000</v>
      </c>
      <c r="G44" s="496">
        <v>7500000000</v>
      </c>
    </row>
    <row r="45" spans="2:7" ht="14.45" customHeight="1">
      <c r="B45" s="363">
        <v>1500</v>
      </c>
      <c r="C45" s="364" t="s">
        <v>868</v>
      </c>
      <c r="D45" s="364" t="s">
        <v>1003</v>
      </c>
      <c r="E45" s="364" t="s">
        <v>941</v>
      </c>
      <c r="F45" s="496">
        <v>7500000000</v>
      </c>
      <c r="G45" s="496">
        <v>7500000000</v>
      </c>
    </row>
    <row r="46" spans="2:7" ht="13.9" customHeight="1">
      <c r="B46" s="363"/>
      <c r="C46" s="364"/>
      <c r="D46" s="364"/>
      <c r="E46" s="364"/>
      <c r="F46" s="367"/>
      <c r="G46" s="367"/>
    </row>
    <row r="47" spans="2:7" ht="15.75" thickBot="1">
      <c r="B47" s="359"/>
      <c r="C47" s="365"/>
      <c r="D47" s="365"/>
      <c r="E47" s="366"/>
      <c r="F47" s="365"/>
      <c r="G47" s="365"/>
    </row>
    <row r="48" spans="2:7">
      <c r="B48" s="733"/>
      <c r="C48" s="734"/>
      <c r="D48" s="734"/>
      <c r="E48" s="734"/>
      <c r="F48" s="734"/>
      <c r="G48" s="735"/>
    </row>
    <row r="49" spans="2:7" ht="15" thickBot="1">
      <c r="B49" s="731"/>
      <c r="C49" s="777"/>
      <c r="D49" s="777"/>
      <c r="E49" s="777"/>
      <c r="F49" s="777"/>
      <c r="G49" s="732"/>
    </row>
    <row r="50" spans="2:7" ht="15" thickBot="1">
      <c r="B50" s="778"/>
      <c r="C50" s="779"/>
      <c r="D50" s="779"/>
      <c r="E50" s="779"/>
      <c r="F50" s="779"/>
      <c r="G50" s="780"/>
    </row>
  </sheetData>
  <mergeCells count="50">
    <mergeCell ref="E40:E42"/>
    <mergeCell ref="B48:G49"/>
    <mergeCell ref="B50:G50"/>
    <mergeCell ref="B35:C35"/>
    <mergeCell ref="D35:G35"/>
    <mergeCell ref="B36:G36"/>
    <mergeCell ref="B37:G37"/>
    <mergeCell ref="B38:G38"/>
    <mergeCell ref="B39:G39"/>
    <mergeCell ref="D34:G34"/>
    <mergeCell ref="B32:C32"/>
    <mergeCell ref="B33:C33"/>
    <mergeCell ref="D33:G33"/>
    <mergeCell ref="B34:C34"/>
    <mergeCell ref="B31:C31"/>
    <mergeCell ref="D26:G26"/>
    <mergeCell ref="D27:G27"/>
    <mergeCell ref="D28:G28"/>
    <mergeCell ref="D29:G29"/>
    <mergeCell ref="D30:G30"/>
    <mergeCell ref="D31:G31"/>
    <mergeCell ref="B26:C26"/>
    <mergeCell ref="B27:C27"/>
    <mergeCell ref="B28:C28"/>
    <mergeCell ref="B29:C29"/>
    <mergeCell ref="B30:C30"/>
    <mergeCell ref="B17:C17"/>
    <mergeCell ref="B18:C18"/>
    <mergeCell ref="D23:G23"/>
    <mergeCell ref="D24:G24"/>
    <mergeCell ref="D25:G25"/>
    <mergeCell ref="B23:C23"/>
    <mergeCell ref="B24:C24"/>
    <mergeCell ref="B25:C25"/>
    <mergeCell ref="B1:H1"/>
    <mergeCell ref="B8:J8"/>
    <mergeCell ref="K11:M11"/>
    <mergeCell ref="B21:C21"/>
    <mergeCell ref="B22:C22"/>
    <mergeCell ref="D20:G20"/>
    <mergeCell ref="D21:G21"/>
    <mergeCell ref="D22:G22"/>
    <mergeCell ref="B19:C19"/>
    <mergeCell ref="D17:G17"/>
    <mergeCell ref="D18:G18"/>
    <mergeCell ref="D19:G19"/>
    <mergeCell ref="B20:C20"/>
    <mergeCell ref="B14:G14"/>
    <mergeCell ref="B15:G15"/>
    <mergeCell ref="B16:G16"/>
  </mergeCells>
  <hyperlinks>
    <hyperlink ref="J1" location="BG!A1" display="BG" xr:uid="{00000000-0004-0000-0A00-000000000000}"/>
  </hyperlinks>
  <pageMargins left="0.25" right="0.25" top="0.75" bottom="0.75" header="0.3" footer="0.3"/>
  <pageSetup paperSize="9" scale="63"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499984740745262"/>
    <pageSetUpPr fitToPage="1"/>
  </sheetPr>
  <dimension ref="B1:O72"/>
  <sheetViews>
    <sheetView showGridLines="0" zoomScale="115" zoomScaleNormal="115" workbookViewId="0">
      <selection activeCell="I22" sqref="I22"/>
    </sheetView>
  </sheetViews>
  <sheetFormatPr baseColWidth="10" defaultColWidth="11.28515625" defaultRowHeight="12.75"/>
  <cols>
    <col min="1" max="1" width="4.85546875" style="1" customWidth="1"/>
    <col min="2" max="2" width="31.28515625" style="1" customWidth="1"/>
    <col min="3" max="3" width="14.85546875" style="1" customWidth="1"/>
    <col min="4" max="4" width="15.28515625" style="1" customWidth="1"/>
    <col min="5" max="5" width="19" style="1" bestFit="1" customWidth="1"/>
    <col min="6" max="6" width="11.28515625" style="1"/>
    <col min="7" max="7" width="14.28515625" style="1" customWidth="1"/>
    <col min="8" max="8" width="15.28515625" style="1" customWidth="1"/>
    <col min="9" max="9" width="18.7109375" style="1" customWidth="1"/>
    <col min="10" max="10" width="16.85546875" style="1" customWidth="1"/>
    <col min="11" max="16384" width="11.28515625" style="1"/>
  </cols>
  <sheetData>
    <row r="1" spans="2:12" ht="21" customHeight="1">
      <c r="B1" s="792"/>
      <c r="C1" s="792"/>
      <c r="D1" s="792"/>
      <c r="E1" s="792"/>
      <c r="F1" s="792"/>
      <c r="G1" s="792"/>
      <c r="H1" s="792"/>
      <c r="I1" s="792"/>
      <c r="J1" s="124" t="s">
        <v>18</v>
      </c>
    </row>
    <row r="2" spans="2:12" ht="15" customHeight="1"/>
    <row r="3" spans="2:12" ht="15" customHeight="1"/>
    <row r="4" spans="2:12" ht="15" customHeight="1"/>
    <row r="5" spans="2:12" ht="15" customHeight="1"/>
    <row r="6" spans="2:12" ht="15" customHeight="1">
      <c r="B6" s="793" t="s">
        <v>198</v>
      </c>
      <c r="C6" s="794"/>
      <c r="D6" s="794"/>
      <c r="E6" s="794"/>
      <c r="F6" s="794"/>
      <c r="G6" s="794"/>
      <c r="H6" s="794"/>
      <c r="I6" s="794"/>
      <c r="J6" s="795"/>
    </row>
    <row r="7" spans="2:12" ht="26.45" customHeight="1">
      <c r="B7" s="796" t="s">
        <v>14</v>
      </c>
      <c r="C7" s="797"/>
      <c r="D7" s="797"/>
      <c r="E7" s="797"/>
      <c r="F7" s="797"/>
      <c r="G7" s="797"/>
      <c r="H7" s="797"/>
      <c r="I7" s="797"/>
      <c r="J7" s="798"/>
      <c r="K7" s="126"/>
      <c r="L7" s="126"/>
    </row>
    <row r="8" spans="2:12" ht="15" customHeight="1">
      <c r="B8" s="13"/>
      <c r="J8" s="424"/>
    </row>
    <row r="9" spans="2:12" ht="15" customHeight="1">
      <c r="B9" s="802" t="s">
        <v>199</v>
      </c>
      <c r="C9" s="803"/>
      <c r="D9" s="803"/>
      <c r="E9" s="803"/>
      <c r="F9" s="803"/>
      <c r="G9" s="803"/>
      <c r="H9" s="803"/>
      <c r="I9" s="803"/>
      <c r="J9" s="804"/>
      <c r="K9" s="126"/>
      <c r="L9" s="126"/>
    </row>
    <row r="10" spans="2:12" s="31" customFormat="1" ht="55.15" customHeight="1">
      <c r="B10" s="784" t="s">
        <v>925</v>
      </c>
      <c r="C10" s="785"/>
      <c r="D10" s="785"/>
      <c r="E10" s="785"/>
      <c r="F10" s="785"/>
      <c r="G10" s="785"/>
      <c r="H10" s="785"/>
      <c r="I10" s="785"/>
      <c r="J10" s="786"/>
    </row>
    <row r="11" spans="2:12" ht="15" customHeight="1">
      <c r="B11" s="789" t="s">
        <v>200</v>
      </c>
      <c r="C11" s="790"/>
      <c r="D11" s="790"/>
      <c r="E11" s="790"/>
      <c r="F11" s="790"/>
      <c r="G11" s="790"/>
      <c r="H11" s="790"/>
      <c r="I11" s="790"/>
      <c r="J11" s="791"/>
      <c r="K11" s="126"/>
      <c r="L11" s="126"/>
    </row>
    <row r="12" spans="2:12" ht="42.6" customHeight="1">
      <c r="B12" s="799" t="s">
        <v>201</v>
      </c>
      <c r="C12" s="800"/>
      <c r="D12" s="800"/>
      <c r="E12" s="800"/>
      <c r="F12" s="800"/>
      <c r="G12" s="800"/>
      <c r="H12" s="800"/>
      <c r="I12" s="800"/>
      <c r="J12" s="801"/>
    </row>
    <row r="13" spans="2:12" ht="15" customHeight="1">
      <c r="B13" s="789" t="s">
        <v>202</v>
      </c>
      <c r="C13" s="790"/>
      <c r="D13" s="790"/>
      <c r="E13" s="790"/>
      <c r="F13" s="790"/>
      <c r="G13" s="790"/>
      <c r="H13" s="790"/>
      <c r="I13" s="790"/>
      <c r="J13" s="791"/>
      <c r="K13" s="126"/>
      <c r="L13" s="126"/>
    </row>
    <row r="14" spans="2:12" ht="15" customHeight="1">
      <c r="B14" s="799" t="s">
        <v>203</v>
      </c>
      <c r="C14" s="800"/>
      <c r="D14" s="800"/>
      <c r="E14" s="800"/>
      <c r="F14" s="800"/>
      <c r="G14" s="800"/>
      <c r="H14" s="800"/>
      <c r="I14" s="800"/>
      <c r="J14" s="801"/>
    </row>
    <row r="15" spans="2:12" ht="28.5" customHeight="1">
      <c r="B15" s="799" t="s">
        <v>204</v>
      </c>
      <c r="C15" s="800"/>
      <c r="D15" s="800"/>
      <c r="E15" s="800"/>
      <c r="F15" s="800"/>
      <c r="G15" s="800"/>
      <c r="H15" s="800"/>
      <c r="I15" s="800"/>
      <c r="J15" s="801"/>
    </row>
    <row r="16" spans="2:12" ht="15" customHeight="1">
      <c r="B16" s="451"/>
      <c r="C16" s="452"/>
      <c r="D16" s="452"/>
      <c r="E16" s="452"/>
      <c r="F16" s="452"/>
      <c r="G16" s="452"/>
      <c r="H16" s="452"/>
      <c r="I16" s="452"/>
      <c r="J16" s="453"/>
    </row>
    <row r="17" spans="2:12" ht="15" customHeight="1">
      <c r="B17" s="131"/>
      <c r="C17" s="133"/>
      <c r="H17" s="133"/>
      <c r="J17" s="424"/>
    </row>
    <row r="18" spans="2:12" ht="15" customHeight="1">
      <c r="B18" s="131"/>
      <c r="C18" s="132"/>
      <c r="D18" s="132">
        <v>2024</v>
      </c>
      <c r="E18" s="132"/>
      <c r="F18" s="133"/>
      <c r="G18" s="132"/>
      <c r="H18" s="132">
        <v>2023</v>
      </c>
      <c r="I18" s="132"/>
      <c r="J18" s="135"/>
      <c r="K18" s="133"/>
      <c r="L18" s="133"/>
    </row>
    <row r="19" spans="2:12" ht="15" customHeight="1">
      <c r="B19" s="131"/>
      <c r="C19" s="134" t="s">
        <v>205</v>
      </c>
      <c r="D19" s="428" t="s">
        <v>206</v>
      </c>
      <c r="E19" s="428" t="s">
        <v>207</v>
      </c>
      <c r="G19" s="134" t="s">
        <v>205</v>
      </c>
      <c r="H19" s="428" t="s">
        <v>206</v>
      </c>
      <c r="I19" s="428" t="s">
        <v>207</v>
      </c>
      <c r="J19" s="424"/>
    </row>
    <row r="20" spans="2:12" ht="15" customHeight="1">
      <c r="B20" s="131" t="s">
        <v>208</v>
      </c>
      <c r="C20" s="133" t="s">
        <v>917</v>
      </c>
      <c r="D20" s="429">
        <f>E20/D29</f>
        <v>786446.43661677837</v>
      </c>
      <c r="E20" s="491">
        <f>+'Nota 3'!C17+'Nota 3'!C40+'Nota 3'!C41+'Nota 3'!C42+'Nota 3'!C44+'Nota 3'!C45+'Nota 3'!C46+'Nota 3'!C47+'Nota 3'!C48+'Nota 3'!C49+'Nota 3'!C50+'Nota 3'!C51+'Nota 5'!D10+'Nota 5'!D19+'Nota 6'!B11+'Nota 6'!B16</f>
        <v>5802260249</v>
      </c>
      <c r="F20" s="133"/>
      <c r="G20" s="133" t="s">
        <v>917</v>
      </c>
      <c r="H20" s="551">
        <f>I20/F29</f>
        <v>708666.11000896245</v>
      </c>
      <c r="I20" s="491">
        <f>+'Nota 3'!D17+'Nota 3'!D40+'Nota 3'!D41+'Nota 3'!D42+'Nota 3'!D44+'Nota 3'!D45+'Nota 3'!D46+'Nota 3'!D47+'Nota 3'!D48+'Nota 3'!D49+'Nota 3'!D51+'Nota 5'!E10+'Nota 5'!E19+'Nota 6'!C11+'Nota 6'!C16</f>
        <v>5147460070</v>
      </c>
      <c r="J20" s="135"/>
      <c r="K20" s="133"/>
      <c r="L20" s="136"/>
    </row>
    <row r="21" spans="2:12" ht="15" customHeight="1">
      <c r="B21" s="131"/>
      <c r="C21" s="133"/>
      <c r="D21" s="133"/>
      <c r="E21" s="492"/>
      <c r="F21" s="133"/>
      <c r="G21" s="136"/>
      <c r="H21"/>
      <c r="I21"/>
      <c r="J21" s="135"/>
      <c r="K21" s="133"/>
      <c r="L21" s="136"/>
    </row>
    <row r="22" spans="2:12" ht="15" customHeight="1">
      <c r="B22" s="131" t="s">
        <v>209</v>
      </c>
      <c r="C22" s="133" t="s">
        <v>917</v>
      </c>
      <c r="D22" s="429">
        <f>E22/E29</f>
        <v>301266.84862606268</v>
      </c>
      <c r="E22" s="491">
        <f>+'Nota 13'!D10+'Nota 13'!D12+'Nota 19'!B9</f>
        <v>2232962768</v>
      </c>
      <c r="F22" s="133"/>
      <c r="G22" s="133" t="s">
        <v>917</v>
      </c>
      <c r="H22" s="551">
        <f>I22/G29</f>
        <v>343061.3100353945</v>
      </c>
      <c r="I22" s="552">
        <f>+'Nota 13'!E10+'Nota 13'!E12+'Nota 19'!C9</f>
        <v>2498728219</v>
      </c>
      <c r="J22" s="135"/>
      <c r="K22" s="133"/>
      <c r="L22" s="136"/>
    </row>
    <row r="23" spans="2:12" ht="15" customHeight="1">
      <c r="B23" s="131"/>
      <c r="C23" s="370"/>
      <c r="D23" s="370"/>
      <c r="E23" s="137"/>
      <c r="G23" s="370"/>
      <c r="H23" s="273"/>
      <c r="I23" s="553"/>
      <c r="J23" s="424"/>
    </row>
    <row r="24" spans="2:12" ht="15" customHeight="1">
      <c r="B24" s="138" t="s">
        <v>210</v>
      </c>
      <c r="C24" s="133" t="s">
        <v>917</v>
      </c>
      <c r="D24" s="430">
        <f>D20-D22</f>
        <v>485179.58799071569</v>
      </c>
      <c r="E24" s="139">
        <f>E20-E22</f>
        <v>3569297481</v>
      </c>
      <c r="G24" s="133" t="s">
        <v>917</v>
      </c>
      <c r="H24" s="430">
        <f>H20-H22</f>
        <v>365604.79997356795</v>
      </c>
      <c r="I24" s="139">
        <f>I20-I22</f>
        <v>2648731851</v>
      </c>
      <c r="J24" s="424"/>
    </row>
    <row r="25" spans="2:12" ht="20.45" customHeight="1">
      <c r="B25" s="131"/>
      <c r="C25" s="133"/>
      <c r="D25" s="133"/>
      <c r="E25" s="133"/>
      <c r="F25" s="133"/>
      <c r="G25" s="133"/>
      <c r="H25" s="133"/>
      <c r="I25" s="133"/>
      <c r="J25" s="135"/>
      <c r="K25" s="133"/>
      <c r="L25" s="133"/>
    </row>
    <row r="26" spans="2:12" ht="20.45" customHeight="1" thickBot="1">
      <c r="B26" s="784" t="s">
        <v>2082</v>
      </c>
      <c r="C26" s="785"/>
      <c r="D26" s="785"/>
      <c r="E26" s="785"/>
      <c r="F26" s="785"/>
      <c r="G26" s="785"/>
      <c r="H26" s="785"/>
      <c r="I26" s="785"/>
      <c r="J26" s="786"/>
      <c r="K26" s="431"/>
      <c r="L26" s="133"/>
    </row>
    <row r="27" spans="2:12" ht="20.45" customHeight="1" thickBot="1">
      <c r="B27" s="425"/>
      <c r="C27" s="432"/>
      <c r="D27" s="787">
        <v>45382</v>
      </c>
      <c r="E27" s="788"/>
      <c r="F27" s="787">
        <v>45291</v>
      </c>
      <c r="G27" s="788"/>
      <c r="H27" s="426"/>
      <c r="I27" s="426"/>
      <c r="J27" s="427"/>
      <c r="K27" s="431"/>
      <c r="L27" s="133"/>
    </row>
    <row r="28" spans="2:12" ht="20.45" customHeight="1" thickBot="1">
      <c r="B28" s="425"/>
      <c r="C28" s="433"/>
      <c r="D28" s="434" t="s">
        <v>117</v>
      </c>
      <c r="E28" s="435" t="s">
        <v>926</v>
      </c>
      <c r="F28" s="434" t="s">
        <v>117</v>
      </c>
      <c r="G28" s="435" t="s">
        <v>926</v>
      </c>
      <c r="H28" s="426"/>
      <c r="I28" s="454"/>
      <c r="J28" s="427"/>
      <c r="K28" s="431"/>
      <c r="L28" s="133"/>
    </row>
    <row r="29" spans="2:12" ht="29.45" customHeight="1" thickBot="1">
      <c r="B29" s="425"/>
      <c r="C29" s="436" t="s">
        <v>927</v>
      </c>
      <c r="D29" s="437">
        <v>7377.82</v>
      </c>
      <c r="E29" s="438">
        <v>7411.91</v>
      </c>
      <c r="F29" s="437">
        <v>7263.59</v>
      </c>
      <c r="G29" s="438">
        <v>7283.62</v>
      </c>
      <c r="H29" s="426"/>
      <c r="I29" s="426"/>
      <c r="J29" s="427"/>
    </row>
    <row r="30" spans="2:12" ht="15" customHeight="1">
      <c r="B30" s="455"/>
      <c r="C30" s="456"/>
      <c r="D30" s="457"/>
      <c r="E30" s="458"/>
      <c r="F30" s="457"/>
      <c r="G30" s="458"/>
      <c r="H30" s="459"/>
      <c r="I30" s="459"/>
      <c r="J30" s="460"/>
    </row>
    <row r="31" spans="2:12" ht="15" customHeight="1">
      <c r="B31" s="789" t="s">
        <v>211</v>
      </c>
      <c r="C31" s="790"/>
      <c r="D31" s="790"/>
      <c r="E31" s="790"/>
      <c r="F31" s="790"/>
      <c r="G31" s="790"/>
      <c r="H31" s="790"/>
      <c r="I31" s="790"/>
      <c r="J31" s="791"/>
      <c r="K31" s="126"/>
      <c r="L31" s="126"/>
    </row>
    <row r="32" spans="2:12" ht="28.5" customHeight="1">
      <c r="B32" s="784" t="s">
        <v>928</v>
      </c>
      <c r="C32" s="785"/>
      <c r="D32" s="785"/>
      <c r="E32" s="785"/>
      <c r="F32" s="785"/>
      <c r="G32" s="785"/>
      <c r="H32" s="785"/>
      <c r="I32" s="785"/>
      <c r="J32" s="786"/>
    </row>
    <row r="33" spans="2:12" ht="15" customHeight="1">
      <c r="B33" s="789" t="s">
        <v>869</v>
      </c>
      <c r="C33" s="790"/>
      <c r="D33" s="790"/>
      <c r="E33" s="790"/>
      <c r="F33" s="790"/>
      <c r="G33" s="790"/>
      <c r="H33" s="790"/>
      <c r="I33" s="790"/>
      <c r="J33" s="791"/>
      <c r="K33" s="126"/>
      <c r="L33" s="126"/>
    </row>
    <row r="34" spans="2:12" ht="24.6" customHeight="1">
      <c r="B34" s="806" t="s">
        <v>870</v>
      </c>
      <c r="C34" s="807"/>
      <c r="D34" s="807"/>
      <c r="E34" s="807"/>
      <c r="F34" s="807"/>
      <c r="G34" s="807"/>
      <c r="H34" s="807"/>
      <c r="I34" s="807"/>
      <c r="J34" s="808"/>
      <c r="K34" s="126"/>
      <c r="L34" s="126"/>
    </row>
    <row r="35" spans="2:12" s="443" customFormat="1" ht="15" customHeight="1">
      <c r="B35" s="439"/>
      <c r="C35" s="440"/>
      <c r="D35" s="440"/>
      <c r="E35" s="440"/>
      <c r="F35" s="440"/>
      <c r="G35" s="440"/>
      <c r="H35" s="440"/>
      <c r="I35" s="440"/>
      <c r="J35" s="441"/>
      <c r="K35" s="442"/>
      <c r="L35" s="442"/>
    </row>
    <row r="36" spans="2:12" ht="15" customHeight="1">
      <c r="B36" s="789" t="s">
        <v>875</v>
      </c>
      <c r="C36" s="790"/>
      <c r="D36" s="790"/>
      <c r="E36" s="790"/>
      <c r="F36" s="790"/>
      <c r="G36" s="790"/>
      <c r="H36" s="790"/>
      <c r="I36" s="790"/>
      <c r="J36" s="791"/>
      <c r="K36" s="805"/>
      <c r="L36" s="805"/>
    </row>
    <row r="37" spans="2:12" ht="22.7" customHeight="1">
      <c r="B37" s="784" t="s">
        <v>871</v>
      </c>
      <c r="C37" s="785"/>
      <c r="D37" s="785"/>
      <c r="E37" s="785"/>
      <c r="F37" s="785"/>
      <c r="G37" s="785"/>
      <c r="H37" s="785"/>
      <c r="I37" s="785"/>
      <c r="J37" s="786"/>
      <c r="K37" s="805"/>
      <c r="L37" s="805"/>
    </row>
    <row r="38" spans="2:12" ht="25.5" customHeight="1">
      <c r="B38" s="784" t="s">
        <v>872</v>
      </c>
      <c r="C38" s="785"/>
      <c r="D38" s="785"/>
      <c r="E38" s="785"/>
      <c r="F38" s="785"/>
      <c r="G38" s="785"/>
      <c r="H38" s="785"/>
      <c r="I38" s="785"/>
      <c r="J38" s="786"/>
      <c r="K38" s="805"/>
      <c r="L38" s="805"/>
    </row>
    <row r="39" spans="2:12" ht="26.45" customHeight="1">
      <c r="B39" s="784" t="s">
        <v>873</v>
      </c>
      <c r="C39" s="785"/>
      <c r="D39" s="785"/>
      <c r="E39" s="785"/>
      <c r="F39" s="785"/>
      <c r="G39" s="785"/>
      <c r="H39" s="785"/>
      <c r="I39" s="785"/>
      <c r="J39" s="786"/>
      <c r="K39" s="444"/>
      <c r="L39" s="444"/>
    </row>
    <row r="40" spans="2:12" ht="24.75" customHeight="1">
      <c r="B40" s="784" t="s">
        <v>874</v>
      </c>
      <c r="C40" s="785"/>
      <c r="D40" s="785"/>
      <c r="E40" s="785"/>
      <c r="F40" s="785"/>
      <c r="G40" s="785"/>
      <c r="H40" s="785"/>
      <c r="I40" s="785"/>
      <c r="J40" s="786"/>
      <c r="K40" s="444"/>
      <c r="L40" s="444"/>
    </row>
    <row r="41" spans="2:12" ht="15" customHeight="1">
      <c r="B41" s="789" t="s">
        <v>876</v>
      </c>
      <c r="C41" s="790"/>
      <c r="D41" s="790"/>
      <c r="E41" s="790"/>
      <c r="F41" s="790"/>
      <c r="G41" s="790"/>
      <c r="H41" s="790"/>
      <c r="I41" s="790"/>
      <c r="J41" s="791"/>
      <c r="K41" s="805"/>
      <c r="L41" s="805"/>
    </row>
    <row r="42" spans="2:12" s="31" customFormat="1" ht="25.9" customHeight="1">
      <c r="B42" s="784" t="s">
        <v>922</v>
      </c>
      <c r="C42" s="785"/>
      <c r="D42" s="785"/>
      <c r="E42" s="785"/>
      <c r="F42" s="785"/>
      <c r="G42" s="785"/>
      <c r="H42" s="785"/>
      <c r="I42" s="785"/>
      <c r="J42" s="786"/>
      <c r="K42" s="445"/>
      <c r="L42" s="445"/>
    </row>
    <row r="43" spans="2:12" s="423" customFormat="1" ht="15" customHeight="1">
      <c r="B43" s="789" t="s">
        <v>877</v>
      </c>
      <c r="C43" s="790"/>
      <c r="D43" s="790"/>
      <c r="E43" s="790"/>
      <c r="F43" s="790"/>
      <c r="G43" s="790"/>
      <c r="H43" s="790"/>
      <c r="I43" s="790"/>
      <c r="J43" s="791"/>
      <c r="K43" s="446"/>
      <c r="L43" s="446"/>
    </row>
    <row r="44" spans="2:12" s="423" customFormat="1" ht="15" customHeight="1">
      <c r="B44" s="784" t="s">
        <v>212</v>
      </c>
      <c r="C44" s="785"/>
      <c r="D44" s="785"/>
      <c r="E44" s="785"/>
      <c r="F44" s="785"/>
      <c r="G44" s="785"/>
      <c r="H44" s="785"/>
      <c r="I44" s="785"/>
      <c r="J44" s="786"/>
      <c r="K44" s="446"/>
      <c r="L44" s="446"/>
    </row>
    <row r="45" spans="2:12" ht="15" customHeight="1">
      <c r="B45" s="13"/>
      <c r="J45" s="424"/>
      <c r="K45" s="805"/>
      <c r="L45" s="805"/>
    </row>
    <row r="46" spans="2:12" ht="15" customHeight="1">
      <c r="B46" s="789" t="s">
        <v>878</v>
      </c>
      <c r="C46" s="790"/>
      <c r="D46" s="790"/>
      <c r="E46" s="790"/>
      <c r="F46" s="790"/>
      <c r="G46" s="790"/>
      <c r="H46" s="790"/>
      <c r="I46" s="790"/>
      <c r="J46" s="791"/>
      <c r="K46" s="805"/>
      <c r="L46" s="805"/>
    </row>
    <row r="47" spans="2:12" ht="36.75" customHeight="1">
      <c r="B47" s="784" t="s">
        <v>213</v>
      </c>
      <c r="C47" s="785"/>
      <c r="D47" s="785"/>
      <c r="E47" s="785"/>
      <c r="F47" s="785"/>
      <c r="G47" s="785"/>
      <c r="H47" s="785"/>
      <c r="I47" s="785"/>
      <c r="J47" s="786"/>
      <c r="K47" s="444"/>
      <c r="L47" s="444"/>
    </row>
    <row r="48" spans="2:12" ht="15" customHeight="1">
      <c r="B48" s="425"/>
      <c r="C48" s="426"/>
      <c r="D48" s="426"/>
      <c r="E48" s="426"/>
      <c r="F48" s="426"/>
      <c r="G48" s="426"/>
      <c r="H48" s="426"/>
      <c r="I48" s="426"/>
      <c r="J48" s="427"/>
      <c r="K48" s="444"/>
      <c r="L48" s="444"/>
    </row>
    <row r="49" spans="2:12" ht="15" customHeight="1">
      <c r="B49" s="810" t="s">
        <v>879</v>
      </c>
      <c r="C49" s="811"/>
      <c r="D49" s="811"/>
      <c r="E49" s="811"/>
      <c r="F49" s="811"/>
      <c r="G49" s="811"/>
      <c r="H49" s="811"/>
      <c r="I49" s="811"/>
      <c r="J49" s="812"/>
      <c r="K49" s="85"/>
      <c r="L49" s="85"/>
    </row>
    <row r="50" spans="2:12" ht="15" customHeight="1">
      <c r="B50" s="784" t="s">
        <v>922</v>
      </c>
      <c r="C50" s="785"/>
      <c r="D50" s="785"/>
      <c r="E50" s="785"/>
      <c r="F50" s="785"/>
      <c r="G50" s="785"/>
      <c r="H50" s="785"/>
      <c r="I50" s="785"/>
      <c r="J50" s="786"/>
      <c r="K50" s="447"/>
      <c r="L50" s="447"/>
    </row>
    <row r="51" spans="2:12" ht="15" customHeight="1">
      <c r="B51" s="448"/>
      <c r="C51" s="449"/>
      <c r="D51" s="449"/>
      <c r="E51" s="449"/>
      <c r="F51" s="449"/>
      <c r="G51" s="449"/>
      <c r="H51" s="449"/>
      <c r="I51" s="449"/>
      <c r="J51" s="450"/>
      <c r="K51" s="444"/>
      <c r="L51" s="444"/>
    </row>
    <row r="52" spans="2:12" ht="15" customHeight="1">
      <c r="B52" s="789" t="s">
        <v>880</v>
      </c>
      <c r="C52" s="790"/>
      <c r="D52" s="790"/>
      <c r="E52" s="790"/>
      <c r="F52" s="790"/>
      <c r="G52" s="790"/>
      <c r="H52" s="790"/>
      <c r="I52" s="790"/>
      <c r="J52" s="791"/>
      <c r="K52" s="444"/>
      <c r="L52" s="444"/>
    </row>
    <row r="53" spans="2:12" ht="25.5" customHeight="1">
      <c r="B53" s="784" t="s">
        <v>922</v>
      </c>
      <c r="C53" s="785"/>
      <c r="D53" s="785"/>
      <c r="E53" s="785"/>
      <c r="F53" s="785"/>
      <c r="G53" s="785"/>
      <c r="H53" s="785"/>
      <c r="I53" s="785"/>
      <c r="J53" s="786"/>
      <c r="K53" s="444"/>
      <c r="L53" s="444"/>
    </row>
    <row r="54" spans="2:12" ht="29.25" customHeight="1">
      <c r="B54" s="813" t="s">
        <v>214</v>
      </c>
      <c r="C54" s="813"/>
      <c r="D54" s="813"/>
      <c r="E54" s="813"/>
      <c r="F54" s="813"/>
      <c r="G54" s="813"/>
      <c r="H54" s="813"/>
      <c r="I54" s="813"/>
      <c r="J54" s="814"/>
      <c r="K54" s="444"/>
      <c r="L54" s="444"/>
    </row>
    <row r="55" spans="2:12" s="423" customFormat="1" ht="15" customHeight="1">
      <c r="B55" s="815"/>
      <c r="C55" s="816"/>
      <c r="D55" s="816"/>
      <c r="E55" s="816"/>
      <c r="F55" s="816"/>
      <c r="G55" s="816"/>
      <c r="H55" s="816"/>
      <c r="I55" s="816"/>
      <c r="J55" s="817"/>
    </row>
    <row r="56" spans="2:12" ht="15" customHeight="1"/>
    <row r="57" spans="2:12" ht="15" customHeight="1"/>
    <row r="58" spans="2:12" ht="15" customHeight="1">
      <c r="B58" s="140"/>
    </row>
    <row r="59" spans="2:12" ht="15" customHeight="1"/>
    <row r="60" spans="2:12" ht="15" customHeight="1"/>
    <row r="61" spans="2:12" ht="15" customHeight="1"/>
    <row r="62" spans="2:12" ht="15" customHeight="1"/>
    <row r="63" spans="2:12" ht="15" customHeight="1"/>
    <row r="64" spans="2:12" ht="15" customHeight="1"/>
    <row r="65" spans="7:15" ht="15" customHeight="1"/>
    <row r="66" spans="7:15" ht="15" customHeight="1"/>
    <row r="67" spans="7:15" ht="15" customHeight="1"/>
    <row r="68" spans="7:15" ht="15" customHeight="1"/>
    <row r="72" spans="7:15">
      <c r="G72" s="809"/>
      <c r="H72" s="809"/>
      <c r="I72" s="809"/>
      <c r="J72" s="809"/>
      <c r="K72" s="809"/>
      <c r="L72" s="809"/>
      <c r="M72" s="809"/>
      <c r="N72" s="809"/>
      <c r="O72" s="809"/>
    </row>
  </sheetData>
  <mergeCells count="41">
    <mergeCell ref="B47:J47"/>
    <mergeCell ref="B50:J50"/>
    <mergeCell ref="B52:J52"/>
    <mergeCell ref="G72:O72"/>
    <mergeCell ref="B53:J53"/>
    <mergeCell ref="B49:J49"/>
    <mergeCell ref="B54:J54"/>
    <mergeCell ref="B55:J55"/>
    <mergeCell ref="K38:L38"/>
    <mergeCell ref="K41:L41"/>
    <mergeCell ref="B43:J43"/>
    <mergeCell ref="K45:L45"/>
    <mergeCell ref="B46:J46"/>
    <mergeCell ref="K46:L46"/>
    <mergeCell ref="B38:J38"/>
    <mergeCell ref="B39:J39"/>
    <mergeCell ref="B40:J40"/>
    <mergeCell ref="B42:J42"/>
    <mergeCell ref="B44:J44"/>
    <mergeCell ref="K37:L37"/>
    <mergeCell ref="B34:J34"/>
    <mergeCell ref="B32:J32"/>
    <mergeCell ref="B31:J31"/>
    <mergeCell ref="B36:J36"/>
    <mergeCell ref="K36:L36"/>
    <mergeCell ref="B37:J37"/>
    <mergeCell ref="B1:I1"/>
    <mergeCell ref="B6:J6"/>
    <mergeCell ref="B7:J7"/>
    <mergeCell ref="B15:J15"/>
    <mergeCell ref="B14:J14"/>
    <mergeCell ref="B13:J13"/>
    <mergeCell ref="B12:J12"/>
    <mergeCell ref="B11:J11"/>
    <mergeCell ref="B10:J10"/>
    <mergeCell ref="B9:J9"/>
    <mergeCell ref="B26:J26"/>
    <mergeCell ref="D27:E27"/>
    <mergeCell ref="F27:G27"/>
    <mergeCell ref="B33:J33"/>
    <mergeCell ref="B41:J41"/>
  </mergeCells>
  <hyperlinks>
    <hyperlink ref="J1" location="BG!A1" display="BG" xr:uid="{00000000-0004-0000-0B00-000000000000}"/>
  </hyperlinks>
  <pageMargins left="0.25" right="0.25" top="0.75" bottom="0.75" header="0.3" footer="0.3"/>
  <pageSetup paperSize="9" scale="62"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499984740745262"/>
    <pageSetUpPr fitToPage="1"/>
  </sheetPr>
  <dimension ref="A1:E55"/>
  <sheetViews>
    <sheetView showGridLines="0" topLeftCell="A39" workbookViewId="0">
      <selection activeCell="D40" activeCellId="1" sqref="D17 D40:D51"/>
    </sheetView>
  </sheetViews>
  <sheetFormatPr baseColWidth="10" defaultColWidth="11.28515625" defaultRowHeight="12.75"/>
  <cols>
    <col min="1" max="1" width="45.28515625" style="1" customWidth="1"/>
    <col min="2" max="2" width="5.85546875" style="1" customWidth="1"/>
    <col min="3" max="3" width="22.85546875" style="1" customWidth="1"/>
    <col min="4" max="4" width="16.7109375" style="1" customWidth="1"/>
    <col min="5" max="16384" width="11.28515625" style="1"/>
  </cols>
  <sheetData>
    <row r="1" spans="1:5" ht="15">
      <c r="A1" s="2"/>
      <c r="E1" s="124" t="s">
        <v>18</v>
      </c>
    </row>
    <row r="2" spans="1:5" ht="15">
      <c r="A2" s="2"/>
      <c r="E2" s="124"/>
    </row>
    <row r="3" spans="1:5" ht="15">
      <c r="A3" s="2"/>
      <c r="E3" s="124"/>
    </row>
    <row r="4" spans="1:5" ht="15">
      <c r="A4" s="2"/>
      <c r="E4" s="124"/>
    </row>
    <row r="5" spans="1:5">
      <c r="A5" s="1" t="s">
        <v>215</v>
      </c>
    </row>
    <row r="10" spans="1:5">
      <c r="A10" s="141" t="s">
        <v>216</v>
      </c>
      <c r="B10" s="141"/>
      <c r="C10" s="141"/>
      <c r="D10" s="141"/>
    </row>
    <row r="11" spans="1:5">
      <c r="A11" s="142" t="s">
        <v>2083</v>
      </c>
      <c r="B11" s="142"/>
    </row>
    <row r="12" spans="1:5">
      <c r="A12" s="143" t="s">
        <v>218</v>
      </c>
    </row>
    <row r="13" spans="1:5">
      <c r="A13" s="143"/>
    </row>
    <row r="14" spans="1:5">
      <c r="A14" s="144" t="s">
        <v>219</v>
      </c>
      <c r="B14" s="145"/>
      <c r="C14" s="132">
        <v>2024</v>
      </c>
      <c r="D14" s="132">
        <v>2023</v>
      </c>
    </row>
    <row r="15" spans="1:5">
      <c r="A15" s="146"/>
      <c r="B15" s="145"/>
      <c r="C15" s="147"/>
      <c r="D15" s="147"/>
    </row>
    <row r="16" spans="1:5">
      <c r="A16" s="148" t="s">
        <v>220</v>
      </c>
      <c r="B16" s="145"/>
      <c r="C16" s="149"/>
      <c r="D16" s="149"/>
    </row>
    <row r="17" spans="1:4">
      <c r="A17" s="148" t="s">
        <v>942</v>
      </c>
      <c r="B17" s="145"/>
      <c r="C17" s="149">
        <f>+'2024'!C8</f>
        <v>40918683</v>
      </c>
      <c r="D17" s="149">
        <v>11186001</v>
      </c>
    </row>
    <row r="18" spans="1:4">
      <c r="A18" s="148" t="s">
        <v>221</v>
      </c>
      <c r="B18" s="148"/>
      <c r="C18" s="555">
        <f>+'2024'!C10</f>
        <v>58860138</v>
      </c>
      <c r="D18" s="149">
        <v>58860138</v>
      </c>
    </row>
    <row r="19" spans="1:4" hidden="1">
      <c r="A19" s="148" t="s">
        <v>1745</v>
      </c>
      <c r="B19" s="148"/>
      <c r="C19" s="149"/>
      <c r="D19" s="149"/>
    </row>
    <row r="20" spans="1:4">
      <c r="A20" s="148" t="s">
        <v>1922</v>
      </c>
      <c r="B20" s="148"/>
      <c r="C20" s="555">
        <f>+'2024'!C9</f>
        <v>-4640871</v>
      </c>
      <c r="D20" s="555">
        <v>1500000</v>
      </c>
    </row>
    <row r="21" spans="1:4">
      <c r="A21" s="148" t="s">
        <v>1182</v>
      </c>
      <c r="B21" s="148"/>
      <c r="C21" s="149">
        <f>+'2024'!C6</f>
        <v>2211409</v>
      </c>
      <c r="D21" s="149">
        <v>2211409</v>
      </c>
    </row>
    <row r="22" spans="1:4">
      <c r="A22" s="148" t="s">
        <v>965</v>
      </c>
      <c r="B22" s="148"/>
      <c r="C22" s="149">
        <f>+'2024'!C7</f>
        <v>13418749</v>
      </c>
      <c r="D22" s="149">
        <v>2218371</v>
      </c>
    </row>
    <row r="23" spans="1:4">
      <c r="A23" s="151" t="s">
        <v>222</v>
      </c>
      <c r="B23" s="148"/>
      <c r="C23" s="149"/>
      <c r="D23" s="149"/>
    </row>
    <row r="24" spans="1:4">
      <c r="A24" s="148" t="s">
        <v>944</v>
      </c>
      <c r="B24" s="148"/>
      <c r="C24" s="149">
        <f>+'2024'!C21</f>
        <v>7621450</v>
      </c>
      <c r="D24" s="149">
        <v>7621450</v>
      </c>
    </row>
    <row r="25" spans="1:4">
      <c r="A25" s="148" t="s">
        <v>945</v>
      </c>
      <c r="B25" s="148"/>
      <c r="C25" s="149">
        <f>+'2024'!C22</f>
        <v>7660000</v>
      </c>
      <c r="D25" s="149">
        <v>7660000</v>
      </c>
    </row>
    <row r="26" spans="1:4">
      <c r="A26" s="148" t="s">
        <v>946</v>
      </c>
      <c r="B26" s="148"/>
      <c r="C26" s="149">
        <f>+'2024'!C23</f>
        <v>20059736</v>
      </c>
      <c r="D26" s="149">
        <v>9473684</v>
      </c>
    </row>
    <row r="27" spans="1:4">
      <c r="A27" s="148" t="s">
        <v>947</v>
      </c>
      <c r="B27" s="148"/>
      <c r="C27" s="149">
        <f>+'2024'!C24</f>
        <v>7604000</v>
      </c>
      <c r="D27" s="149">
        <v>7604000</v>
      </c>
    </row>
    <row r="28" spans="1:4">
      <c r="A28" s="148" t="s">
        <v>948</v>
      </c>
      <c r="B28" s="148"/>
      <c r="C28" s="149">
        <f>+'2024'!C25</f>
        <v>7604000</v>
      </c>
      <c r="D28" s="149">
        <v>7604000</v>
      </c>
    </row>
    <row r="29" spans="1:4">
      <c r="A29" s="148" t="s">
        <v>949</v>
      </c>
      <c r="B29" s="148"/>
      <c r="C29" s="149">
        <f>+'2024'!C26</f>
        <v>7613800</v>
      </c>
      <c r="D29" s="149">
        <v>7613800</v>
      </c>
    </row>
    <row r="30" spans="1:4">
      <c r="A30" s="148" t="s">
        <v>943</v>
      </c>
      <c r="B30" s="148"/>
      <c r="C30" s="149">
        <f>+'2024'!C29</f>
        <v>2037189</v>
      </c>
      <c r="D30" s="149">
        <v>20140110</v>
      </c>
    </row>
    <row r="31" spans="1:4">
      <c r="A31" s="148" t="s">
        <v>950</v>
      </c>
      <c r="B31" s="148"/>
      <c r="C31" s="149">
        <f>+'2024'!C30</f>
        <v>-1632591</v>
      </c>
      <c r="D31" s="149">
        <v>100207530</v>
      </c>
    </row>
    <row r="32" spans="1:4">
      <c r="A32" s="148" t="s">
        <v>951</v>
      </c>
      <c r="B32" s="148"/>
      <c r="C32" s="149">
        <f>+'2024'!C31</f>
        <v>14801886</v>
      </c>
      <c r="D32" s="149">
        <v>15912319</v>
      </c>
    </row>
    <row r="33" spans="1:4">
      <c r="A33" s="148" t="s">
        <v>952</v>
      </c>
      <c r="B33" s="148"/>
      <c r="C33" s="149">
        <v>0</v>
      </c>
      <c r="D33" s="149">
        <v>0</v>
      </c>
    </row>
    <row r="34" spans="1:4">
      <c r="A34" s="148" t="s">
        <v>953</v>
      </c>
      <c r="B34" s="148"/>
      <c r="C34" s="149">
        <f>+'2024'!C32</f>
        <v>4846731</v>
      </c>
      <c r="D34" s="149">
        <v>9899331</v>
      </c>
    </row>
    <row r="35" spans="1:4">
      <c r="A35" s="148" t="s">
        <v>954</v>
      </c>
      <c r="B35" s="148"/>
      <c r="C35" s="149">
        <f>+'2024'!C33</f>
        <v>3926888</v>
      </c>
      <c r="D35" s="149">
        <v>3926888</v>
      </c>
    </row>
    <row r="36" spans="1:4">
      <c r="A36" s="148" t="s">
        <v>1923</v>
      </c>
      <c r="B36" s="148"/>
      <c r="C36" s="149">
        <f>+'2024'!C34</f>
        <v>589088</v>
      </c>
      <c r="D36" s="149">
        <v>789544</v>
      </c>
    </row>
    <row r="37" spans="1:4">
      <c r="A37" s="148" t="s">
        <v>1856</v>
      </c>
      <c r="B37" s="148"/>
      <c r="C37" s="149">
        <f>+'2024'!C35</f>
        <v>1448093</v>
      </c>
      <c r="D37" s="149">
        <v>1447191</v>
      </c>
    </row>
    <row r="38" spans="1:4">
      <c r="A38" s="148" t="s">
        <v>2304</v>
      </c>
      <c r="B38" s="148"/>
      <c r="C38" s="149">
        <f>+'2024'!C36</f>
        <v>1701667536</v>
      </c>
      <c r="D38" s="149"/>
    </row>
    <row r="39" spans="1:4">
      <c r="A39" s="151" t="s">
        <v>223</v>
      </c>
      <c r="B39" s="148"/>
      <c r="C39" s="149"/>
      <c r="D39" s="149"/>
    </row>
    <row r="40" spans="1:4">
      <c r="A40" s="148" t="s">
        <v>955</v>
      </c>
      <c r="B40" s="148"/>
      <c r="C40" s="149">
        <f>+'2024'!C13</f>
        <v>4931391</v>
      </c>
      <c r="D40" s="149">
        <v>21003542</v>
      </c>
    </row>
    <row r="41" spans="1:4">
      <c r="A41" s="148" t="s">
        <v>956</v>
      </c>
      <c r="B41" s="148"/>
      <c r="C41" s="149">
        <f>+'2024'!C14</f>
        <v>345208</v>
      </c>
      <c r="D41" s="149">
        <v>105715015</v>
      </c>
    </row>
    <row r="42" spans="1:4">
      <c r="A42" s="148" t="s">
        <v>957</v>
      </c>
      <c r="B42" s="148"/>
      <c r="C42" s="149">
        <f>+'2024'!C15</f>
        <v>96179652</v>
      </c>
      <c r="D42" s="149">
        <v>19612</v>
      </c>
    </row>
    <row r="43" spans="1:4">
      <c r="A43" s="148" t="s">
        <v>958</v>
      </c>
      <c r="B43" s="148"/>
      <c r="C43" s="149"/>
      <c r="D43" s="149"/>
    </row>
    <row r="44" spans="1:4">
      <c r="A44" s="148" t="s">
        <v>959</v>
      </c>
      <c r="B44" s="148"/>
      <c r="C44" s="149">
        <f>+'2024'!C16</f>
        <v>866577</v>
      </c>
      <c r="D44" s="149">
        <v>7830441</v>
      </c>
    </row>
    <row r="45" spans="1:4">
      <c r="A45" s="148" t="s">
        <v>960</v>
      </c>
      <c r="B45" s="148"/>
      <c r="C45" s="149">
        <f>+'2024'!C17</f>
        <v>9684114</v>
      </c>
      <c r="D45" s="149">
        <v>11075958</v>
      </c>
    </row>
    <row r="46" spans="1:4">
      <c r="A46" s="148" t="s">
        <v>961</v>
      </c>
      <c r="B46" s="148"/>
      <c r="C46" s="149">
        <f>+'2024'!C18</f>
        <v>8351854</v>
      </c>
      <c r="D46" s="149">
        <v>21785831</v>
      </c>
    </row>
    <row r="47" spans="1:4">
      <c r="A47" s="148" t="s">
        <v>962</v>
      </c>
      <c r="B47" s="148"/>
      <c r="C47" s="149">
        <f>+'2024'!C19</f>
        <v>71579697</v>
      </c>
      <c r="D47" s="149">
        <v>162475468</v>
      </c>
    </row>
    <row r="48" spans="1:4">
      <c r="A48" s="148" t="s">
        <v>963</v>
      </c>
      <c r="B48" s="148"/>
      <c r="C48" s="149">
        <f>+'2024'!C20</f>
        <v>70634856</v>
      </c>
      <c r="D48" s="149">
        <v>120418773</v>
      </c>
    </row>
    <row r="49" spans="1:4">
      <c r="A49" s="148" t="s">
        <v>1855</v>
      </c>
      <c r="B49" s="148"/>
      <c r="C49" s="149">
        <f>+'2024'!C27</f>
        <v>7239620</v>
      </c>
      <c r="D49" s="149">
        <v>7239620</v>
      </c>
    </row>
    <row r="50" spans="1:4">
      <c r="A50" s="148" t="s">
        <v>1915</v>
      </c>
      <c r="B50" s="148"/>
      <c r="C50" s="149">
        <f>+'2024'!C28</f>
        <v>184375926</v>
      </c>
      <c r="D50" s="149">
        <v>0</v>
      </c>
    </row>
    <row r="51" spans="1:4">
      <c r="A51" s="148" t="s">
        <v>964</v>
      </c>
      <c r="B51" s="148"/>
      <c r="C51" s="149">
        <f>+'2024'!C39</f>
        <v>107573216</v>
      </c>
      <c r="D51" s="149">
        <v>18804926</v>
      </c>
    </row>
    <row r="52" spans="1:4">
      <c r="A52" s="148"/>
      <c r="B52" s="148"/>
      <c r="C52" s="149"/>
      <c r="D52" s="149"/>
    </row>
    <row r="53" spans="1:4">
      <c r="A53" s="148" t="s">
        <v>224</v>
      </c>
      <c r="B53" s="148"/>
      <c r="C53" s="149"/>
      <c r="D53" s="149"/>
    </row>
    <row r="54" spans="1:4" ht="13.5" thickBot="1">
      <c r="A54" s="151" t="s">
        <v>161</v>
      </c>
      <c r="B54" s="151"/>
      <c r="C54" s="152">
        <f>SUM($C$16:C53)</f>
        <v>2458378025</v>
      </c>
      <c r="D54" s="152">
        <f>SUM($D$16:D53)</f>
        <v>752244952</v>
      </c>
    </row>
    <row r="55" spans="1:4" ht="13.5" thickTop="1"/>
  </sheetData>
  <hyperlinks>
    <hyperlink ref="E1" location="BG!A1" display="BG" xr:uid="{00000000-0004-0000-0C00-000000000000}"/>
  </hyperlinks>
  <pageMargins left="0.25" right="0.25" top="0.75" bottom="0.75" header="0.3" footer="0.3"/>
  <pageSetup paperSize="9" scale="96"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499984740745262"/>
    <pageSetUpPr fitToPage="1"/>
  </sheetPr>
  <dimension ref="A1:IV71"/>
  <sheetViews>
    <sheetView topLeftCell="A4" workbookViewId="0">
      <selection activeCell="B10" sqref="B10"/>
    </sheetView>
  </sheetViews>
  <sheetFormatPr baseColWidth="10" defaultRowHeight="15"/>
  <cols>
    <col min="1" max="1" width="62.28515625" customWidth="1"/>
    <col min="2" max="2" width="16.140625" customWidth="1"/>
    <col min="3" max="3" width="18.28515625" customWidth="1"/>
    <col min="6" max="6" width="11.28515625" customWidth="1"/>
    <col min="7" max="30" width="11.5703125" style="133" customWidth="1"/>
  </cols>
  <sheetData>
    <row r="1" spans="1:256">
      <c r="A1" s="133"/>
      <c r="B1" s="133"/>
      <c r="C1" s="133"/>
      <c r="D1" s="153" t="s">
        <v>18</v>
      </c>
      <c r="E1" s="133"/>
      <c r="F1" s="133"/>
    </row>
    <row r="2" spans="1:256">
      <c r="A2" s="133"/>
      <c r="B2" s="133"/>
      <c r="C2" s="133"/>
      <c r="D2" s="133"/>
      <c r="E2" s="133"/>
      <c r="F2" s="133"/>
    </row>
    <row r="3" spans="1:256">
      <c r="A3" s="133"/>
      <c r="B3" s="133"/>
      <c r="C3" s="133"/>
      <c r="D3" s="133"/>
      <c r="E3" s="133"/>
      <c r="F3" s="133"/>
    </row>
    <row r="4" spans="1:256">
      <c r="A4" s="133"/>
      <c r="B4" s="133"/>
      <c r="C4" s="133"/>
      <c r="D4" s="133"/>
      <c r="E4" s="133"/>
      <c r="F4" s="133"/>
    </row>
    <row r="5" spans="1:256">
      <c r="A5" s="818" t="s">
        <v>225</v>
      </c>
      <c r="B5" s="818"/>
      <c r="C5" s="818"/>
      <c r="D5" s="133"/>
      <c r="E5" s="133"/>
      <c r="F5" s="133"/>
    </row>
    <row r="6" spans="1:256">
      <c r="A6" s="154"/>
      <c r="B6" s="154"/>
      <c r="C6" s="154"/>
      <c r="D6" s="133"/>
      <c r="E6" s="133"/>
      <c r="F6" s="133"/>
    </row>
    <row r="7" spans="1:256">
      <c r="A7" s="155" t="s">
        <v>218</v>
      </c>
      <c r="B7" s="154"/>
      <c r="C7" s="154"/>
      <c r="D7" s="133"/>
      <c r="E7" s="133"/>
      <c r="F7" s="133"/>
    </row>
    <row r="8" spans="1:256">
      <c r="A8" s="155"/>
      <c r="B8" s="819" t="s">
        <v>217</v>
      </c>
      <c r="C8" s="819"/>
      <c r="D8" s="133"/>
      <c r="E8" s="133"/>
      <c r="F8" s="133"/>
    </row>
    <row r="9" spans="1:256">
      <c r="A9" s="144" t="s">
        <v>219</v>
      </c>
      <c r="B9" s="132">
        <v>2024</v>
      </c>
      <c r="C9" s="132">
        <v>2023</v>
      </c>
      <c r="D9" s="133"/>
      <c r="E9" s="133"/>
      <c r="F9" s="133"/>
    </row>
    <row r="10" spans="1:256">
      <c r="A10" s="133" t="s">
        <v>226</v>
      </c>
      <c r="B10" s="133"/>
      <c r="C10" s="133"/>
      <c r="D10" s="133"/>
      <c r="E10" s="133"/>
      <c r="F10" s="133"/>
    </row>
    <row r="11" spans="1:256">
      <c r="A11" s="133" t="s">
        <v>227</v>
      </c>
      <c r="B11" s="133"/>
      <c r="C11" s="133"/>
      <c r="D11" s="133"/>
      <c r="E11" s="133"/>
      <c r="F11" s="133"/>
    </row>
    <row r="12" spans="1:256">
      <c r="A12" s="133" t="s">
        <v>228</v>
      </c>
      <c r="B12" s="133"/>
      <c r="C12" s="133"/>
      <c r="D12" s="133"/>
      <c r="E12" s="133"/>
      <c r="F12" s="133"/>
    </row>
    <row r="13" spans="1:256">
      <c r="A13" s="133" t="s">
        <v>229</v>
      </c>
      <c r="B13" s="133"/>
      <c r="C13" s="133"/>
      <c r="D13" s="133"/>
      <c r="E13" s="133"/>
      <c r="F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row>
    <row r="14" spans="1:256">
      <c r="A14" s="133" t="s">
        <v>230</v>
      </c>
      <c r="B14" s="133"/>
      <c r="C14" s="133"/>
      <c r="D14" s="133"/>
      <c r="E14" s="133"/>
      <c r="F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row>
    <row r="15" spans="1:256">
      <c r="A15" s="133" t="s">
        <v>231</v>
      </c>
      <c r="B15" s="133"/>
      <c r="C15" s="133"/>
      <c r="D15" s="133"/>
      <c r="E15" s="133"/>
      <c r="F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33"/>
      <c r="DF15" s="133"/>
      <c r="DG15" s="133"/>
      <c r="DH15" s="133"/>
      <c r="DI15" s="133"/>
      <c r="DJ15" s="133"/>
      <c r="DK15" s="133"/>
      <c r="DL15" s="133"/>
      <c r="DM15" s="133"/>
      <c r="DN15" s="133"/>
      <c r="DO15" s="133"/>
      <c r="DP15" s="133"/>
      <c r="DQ15" s="133"/>
      <c r="DR15" s="133"/>
      <c r="DS15" s="133"/>
      <c r="DT15" s="133"/>
      <c r="DU15" s="133"/>
      <c r="DV15" s="133"/>
      <c r="DW15" s="133"/>
      <c r="DX15" s="133"/>
      <c r="DY15" s="133"/>
      <c r="DZ15" s="133"/>
      <c r="EA15" s="133"/>
      <c r="EB15" s="133"/>
      <c r="EC15" s="133"/>
      <c r="ED15" s="133"/>
      <c r="EE15" s="133"/>
      <c r="EF15" s="133"/>
      <c r="EG15" s="133"/>
      <c r="EH15" s="133"/>
      <c r="EI15" s="133"/>
      <c r="EJ15" s="133"/>
      <c r="EK15" s="133"/>
      <c r="EL15" s="133"/>
      <c r="EM15" s="133"/>
      <c r="EN15" s="133"/>
      <c r="EO15" s="133"/>
      <c r="EP15" s="133"/>
      <c r="EQ15" s="133"/>
      <c r="ER15" s="133"/>
      <c r="ES15" s="133"/>
      <c r="ET15" s="133"/>
      <c r="EU15" s="133"/>
      <c r="EV15" s="133"/>
      <c r="EW15" s="133"/>
      <c r="EX15" s="133"/>
      <c r="EY15" s="133"/>
      <c r="EZ15" s="133"/>
      <c r="FA15" s="133"/>
      <c r="FB15" s="133"/>
      <c r="FC15" s="133"/>
      <c r="FD15" s="133"/>
      <c r="FE15" s="133"/>
      <c r="FF15" s="133"/>
      <c r="FG15" s="133"/>
      <c r="FH15" s="133"/>
      <c r="FI15" s="133"/>
      <c r="FJ15" s="133"/>
      <c r="FK15" s="133"/>
      <c r="FL15" s="133"/>
      <c r="FM15" s="133"/>
      <c r="FN15" s="133"/>
      <c r="FO15" s="133"/>
      <c r="FP15" s="133"/>
      <c r="FQ15" s="133"/>
      <c r="FR15" s="133"/>
      <c r="FS15" s="133"/>
      <c r="FT15" s="133"/>
      <c r="FU15" s="133"/>
      <c r="FV15" s="133"/>
      <c r="FW15" s="133"/>
      <c r="FX15" s="133"/>
      <c r="FY15" s="133"/>
      <c r="FZ15" s="133"/>
      <c r="GA15" s="133"/>
      <c r="GB15" s="133"/>
      <c r="GC15" s="133"/>
      <c r="GD15" s="133"/>
      <c r="GE15" s="133"/>
      <c r="GF15" s="133"/>
      <c r="GG15" s="133"/>
      <c r="GH15" s="133"/>
      <c r="GI15" s="133"/>
      <c r="GJ15" s="133"/>
      <c r="GK15" s="133"/>
      <c r="GL15" s="133"/>
      <c r="GM15" s="133"/>
      <c r="GN15" s="133"/>
      <c r="GO15" s="133"/>
      <c r="GP15" s="133"/>
      <c r="GQ15" s="133"/>
      <c r="GR15" s="133"/>
      <c r="GS15" s="133"/>
      <c r="GT15" s="133"/>
      <c r="GU15" s="133"/>
      <c r="GV15" s="133"/>
      <c r="GW15" s="133"/>
      <c r="GX15" s="133"/>
      <c r="GY15" s="133"/>
      <c r="GZ15" s="133"/>
      <c r="HA15" s="133"/>
      <c r="HB15" s="133"/>
      <c r="HC15" s="133"/>
      <c r="HD15" s="133"/>
      <c r="HE15" s="133"/>
      <c r="HF15" s="133"/>
      <c r="HG15" s="133"/>
      <c r="HH15" s="133"/>
      <c r="HI15" s="133"/>
      <c r="HJ15" s="133"/>
      <c r="HK15" s="133"/>
      <c r="HL15" s="133"/>
      <c r="HM15" s="133"/>
      <c r="HN15" s="133"/>
      <c r="HO15" s="133"/>
      <c r="HP15" s="133"/>
      <c r="HQ15" s="133"/>
      <c r="HR15" s="133"/>
      <c r="HS15" s="133"/>
      <c r="HT15" s="133"/>
      <c r="HU15" s="133"/>
      <c r="HV15" s="133"/>
      <c r="HW15" s="133"/>
      <c r="HX15" s="133"/>
      <c r="HY15" s="133"/>
      <c r="HZ15" s="133"/>
      <c r="IA15" s="133"/>
      <c r="IB15" s="133"/>
      <c r="IC15" s="133"/>
      <c r="ID15" s="133"/>
      <c r="IE15" s="133"/>
      <c r="IF15" s="133"/>
      <c r="IG15" s="133"/>
      <c r="IH15" s="133"/>
      <c r="II15" s="133"/>
      <c r="IJ15" s="133"/>
      <c r="IK15" s="133"/>
      <c r="IL15" s="133"/>
      <c r="IM15" s="133"/>
      <c r="IN15" s="133"/>
      <c r="IO15" s="133"/>
      <c r="IP15" s="133"/>
      <c r="IQ15" s="133"/>
      <c r="IR15" s="133"/>
      <c r="IS15" s="133"/>
      <c r="IT15" s="133"/>
      <c r="IU15" s="133"/>
      <c r="IV15" s="133"/>
    </row>
    <row r="16" spans="1:256">
      <c r="A16" s="133" t="s">
        <v>232</v>
      </c>
      <c r="B16" s="133"/>
      <c r="C16" s="133"/>
      <c r="D16" s="133"/>
      <c r="E16" s="133"/>
      <c r="F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33"/>
      <c r="DF16" s="133"/>
      <c r="DG16" s="133"/>
      <c r="DH16" s="133"/>
      <c r="DI16" s="133"/>
      <c r="DJ16" s="133"/>
      <c r="DK16" s="133"/>
      <c r="DL16" s="133"/>
      <c r="DM16" s="133"/>
      <c r="DN16" s="133"/>
      <c r="DO16" s="133"/>
      <c r="DP16" s="133"/>
      <c r="DQ16" s="133"/>
      <c r="DR16" s="133"/>
      <c r="DS16" s="133"/>
      <c r="DT16" s="133"/>
      <c r="DU16" s="133"/>
      <c r="DV16" s="133"/>
      <c r="DW16" s="133"/>
      <c r="DX16" s="133"/>
      <c r="DY16" s="133"/>
      <c r="DZ16" s="133"/>
      <c r="EA16" s="133"/>
      <c r="EB16" s="133"/>
      <c r="EC16" s="133"/>
      <c r="ED16" s="133"/>
      <c r="EE16" s="133"/>
      <c r="EF16" s="133"/>
      <c r="EG16" s="133"/>
      <c r="EH16" s="133"/>
      <c r="EI16" s="133"/>
      <c r="EJ16" s="133"/>
      <c r="EK16" s="133"/>
      <c r="EL16" s="133"/>
      <c r="EM16" s="133"/>
      <c r="EN16" s="133"/>
      <c r="EO16" s="133"/>
      <c r="EP16" s="133"/>
      <c r="EQ16" s="133"/>
      <c r="ER16" s="133"/>
      <c r="ES16" s="133"/>
      <c r="ET16" s="133"/>
      <c r="EU16" s="133"/>
      <c r="EV16" s="133"/>
      <c r="EW16" s="133"/>
      <c r="EX16" s="133"/>
      <c r="EY16" s="133"/>
      <c r="EZ16" s="133"/>
      <c r="FA16" s="133"/>
      <c r="FB16" s="133"/>
      <c r="FC16" s="133"/>
      <c r="FD16" s="133"/>
      <c r="FE16" s="133"/>
      <c r="FF16" s="133"/>
      <c r="FG16" s="133"/>
      <c r="FH16" s="133"/>
      <c r="FI16" s="133"/>
      <c r="FJ16" s="133"/>
      <c r="FK16" s="133"/>
      <c r="FL16" s="133"/>
      <c r="FM16" s="133"/>
      <c r="FN16" s="133"/>
      <c r="FO16" s="133"/>
      <c r="FP16" s="133"/>
      <c r="FQ16" s="133"/>
      <c r="FR16" s="133"/>
      <c r="FS16" s="133"/>
      <c r="FT16" s="133"/>
      <c r="FU16" s="133"/>
      <c r="FV16" s="133"/>
      <c r="FW16" s="133"/>
      <c r="FX16" s="133"/>
      <c r="FY16" s="133"/>
      <c r="FZ16" s="133"/>
      <c r="GA16" s="133"/>
      <c r="GB16" s="133"/>
      <c r="GC16" s="133"/>
      <c r="GD16" s="133"/>
      <c r="GE16" s="133"/>
      <c r="GF16" s="133"/>
      <c r="GG16" s="133"/>
      <c r="GH16" s="133"/>
      <c r="GI16" s="133"/>
      <c r="GJ16" s="133"/>
      <c r="GK16" s="133"/>
      <c r="GL16" s="133"/>
      <c r="GM16" s="133"/>
      <c r="GN16" s="133"/>
      <c r="GO16" s="133"/>
      <c r="GP16" s="133"/>
      <c r="GQ16" s="133"/>
      <c r="GR16" s="133"/>
      <c r="GS16" s="133"/>
      <c r="GT16" s="133"/>
      <c r="GU16" s="133"/>
      <c r="GV16" s="133"/>
      <c r="GW16" s="133"/>
      <c r="GX16" s="133"/>
      <c r="GY16" s="133"/>
      <c r="GZ16" s="133"/>
      <c r="HA16" s="133"/>
      <c r="HB16" s="133"/>
      <c r="HC16" s="133"/>
      <c r="HD16" s="133"/>
      <c r="HE16" s="133"/>
      <c r="HF16" s="133"/>
      <c r="HG16" s="133"/>
      <c r="HH16" s="133"/>
      <c r="HI16" s="133"/>
      <c r="HJ16" s="133"/>
      <c r="HK16" s="133"/>
      <c r="HL16" s="133"/>
      <c r="HM16" s="133"/>
      <c r="HN16" s="133"/>
      <c r="HO16" s="133"/>
      <c r="HP16" s="133"/>
      <c r="HQ16" s="133"/>
      <c r="HR16" s="133"/>
      <c r="HS16" s="133"/>
      <c r="HT16" s="133"/>
      <c r="HU16" s="133"/>
      <c r="HV16" s="133"/>
      <c r="HW16" s="133"/>
      <c r="HX16" s="133"/>
      <c r="HY16" s="133"/>
      <c r="HZ16" s="133"/>
      <c r="IA16" s="133"/>
      <c r="IB16" s="133"/>
      <c r="IC16" s="133"/>
      <c r="ID16" s="133"/>
      <c r="IE16" s="133"/>
      <c r="IF16" s="133"/>
      <c r="IG16" s="133"/>
      <c r="IH16" s="133"/>
      <c r="II16" s="133"/>
      <c r="IJ16" s="133"/>
      <c r="IK16" s="133"/>
      <c r="IL16" s="133"/>
      <c r="IM16" s="133"/>
      <c r="IN16" s="133"/>
      <c r="IO16" s="133"/>
      <c r="IP16" s="133"/>
      <c r="IQ16" s="133"/>
      <c r="IR16" s="133"/>
      <c r="IS16" s="133"/>
      <c r="IT16" s="133"/>
      <c r="IU16" s="133"/>
      <c r="IV16" s="133"/>
    </row>
    <row r="17" spans="1:6">
      <c r="A17" s="133" t="s">
        <v>233</v>
      </c>
      <c r="B17" s="133"/>
      <c r="C17" s="133"/>
      <c r="D17" s="133"/>
      <c r="E17" s="133"/>
      <c r="F17" s="133"/>
    </row>
    <row r="18" spans="1:6">
      <c r="A18" s="133" t="s">
        <v>234</v>
      </c>
      <c r="B18" s="133"/>
      <c r="C18" s="133"/>
      <c r="D18" s="133"/>
      <c r="E18" s="133"/>
      <c r="F18" s="133"/>
    </row>
    <row r="19" spans="1:6" ht="15.75" thickBot="1">
      <c r="A19" s="151" t="s">
        <v>161</v>
      </c>
      <c r="B19" s="152">
        <f>SUM($B$10:B18)</f>
        <v>0</v>
      </c>
      <c r="C19" s="152">
        <f>SUM($C$10:C18)</f>
        <v>0</v>
      </c>
      <c r="D19" s="133"/>
      <c r="E19" s="133"/>
      <c r="F19" s="133"/>
    </row>
    <row r="20" spans="1:6" ht="15.75" thickTop="1">
      <c r="A20" s="133"/>
      <c r="B20" s="133"/>
      <c r="C20" s="133"/>
      <c r="D20" s="133"/>
      <c r="E20" s="133"/>
      <c r="F20" s="133"/>
    </row>
    <row r="21" spans="1:6">
      <c r="A21" s="133"/>
      <c r="B21" s="133"/>
      <c r="C21" s="133"/>
      <c r="D21" s="133"/>
      <c r="E21" s="133"/>
      <c r="F21" s="133"/>
    </row>
    <row r="22" spans="1:6">
      <c r="A22" s="133"/>
      <c r="B22" s="133"/>
      <c r="C22" s="133"/>
      <c r="D22" s="133"/>
      <c r="E22" s="133"/>
      <c r="F22" s="133"/>
    </row>
    <row r="23" spans="1:6">
      <c r="A23" s="133"/>
      <c r="B23" s="133"/>
      <c r="C23" s="133"/>
      <c r="D23" s="133"/>
      <c r="E23" s="133"/>
      <c r="F23" s="133"/>
    </row>
    <row r="24" spans="1:6">
      <c r="A24" s="133"/>
      <c r="B24" s="133"/>
      <c r="C24" s="133"/>
      <c r="D24" s="133"/>
      <c r="E24" s="133"/>
      <c r="F24" s="133"/>
    </row>
    <row r="25" spans="1:6">
      <c r="A25" s="133"/>
      <c r="B25" s="133"/>
      <c r="C25" s="133"/>
      <c r="D25" s="133"/>
      <c r="E25" s="133"/>
      <c r="F25" s="133"/>
    </row>
    <row r="26" spans="1:6">
      <c r="A26" s="133"/>
      <c r="B26" s="133"/>
      <c r="C26" s="133"/>
      <c r="D26" s="133"/>
      <c r="E26" s="133"/>
      <c r="F26" s="133"/>
    </row>
    <row r="27" spans="1:6">
      <c r="A27" s="133"/>
      <c r="B27" s="133"/>
      <c r="C27" s="133"/>
      <c r="D27" s="133"/>
      <c r="E27" s="133"/>
      <c r="F27" s="133"/>
    </row>
    <row r="28" spans="1:6">
      <c r="A28" s="133"/>
      <c r="B28" s="133"/>
      <c r="C28" s="133"/>
      <c r="D28" s="133"/>
      <c r="E28" s="133"/>
      <c r="F28" s="133"/>
    </row>
    <row r="29" spans="1:6">
      <c r="A29" s="133"/>
      <c r="B29" s="133"/>
      <c r="C29" s="133"/>
      <c r="D29" s="133"/>
      <c r="E29" s="133"/>
      <c r="F29" s="133"/>
    </row>
    <row r="30" spans="1:6">
      <c r="A30" s="133"/>
      <c r="B30" s="133"/>
      <c r="C30" s="133"/>
      <c r="D30" s="133"/>
      <c r="E30" s="133"/>
      <c r="F30" s="133"/>
    </row>
    <row r="31" spans="1:6">
      <c r="A31" s="133"/>
      <c r="B31" s="133"/>
      <c r="C31" s="133"/>
      <c r="D31" s="133"/>
      <c r="E31" s="133"/>
      <c r="F31" s="133"/>
    </row>
    <row r="32" spans="1:6">
      <c r="A32" s="133"/>
      <c r="B32" s="133"/>
      <c r="C32" s="133"/>
      <c r="D32" s="133"/>
      <c r="E32" s="133"/>
      <c r="F32" s="133"/>
    </row>
    <row r="33" spans="1:6">
      <c r="A33" s="133"/>
      <c r="B33" s="133"/>
      <c r="C33" s="133"/>
      <c r="D33" s="133"/>
      <c r="E33" s="133"/>
      <c r="F33" s="133"/>
    </row>
    <row r="34" spans="1:6">
      <c r="A34" s="133"/>
      <c r="B34" s="133"/>
      <c r="C34" s="133"/>
      <c r="D34" s="133"/>
      <c r="E34" s="133"/>
      <c r="F34" s="133"/>
    </row>
    <row r="35" spans="1:6">
      <c r="A35" s="133"/>
      <c r="B35" s="133"/>
      <c r="C35" s="133"/>
      <c r="D35" s="133"/>
      <c r="E35" s="133"/>
      <c r="F35" s="133"/>
    </row>
    <row r="36" spans="1:6">
      <c r="A36" s="133"/>
      <c r="B36" s="133"/>
      <c r="C36" s="133"/>
      <c r="D36" s="133"/>
      <c r="E36" s="133"/>
      <c r="F36" s="133"/>
    </row>
    <row r="37" spans="1:6">
      <c r="A37" s="133"/>
      <c r="B37" s="133"/>
      <c r="C37" s="133"/>
      <c r="D37" s="133"/>
      <c r="E37" s="133"/>
      <c r="F37" s="133"/>
    </row>
    <row r="38" spans="1:6">
      <c r="A38" s="133"/>
      <c r="B38" s="133"/>
      <c r="C38" s="133"/>
      <c r="D38" s="133"/>
      <c r="E38" s="133"/>
      <c r="F38" s="133"/>
    </row>
    <row r="39" spans="1:6">
      <c r="A39" s="133"/>
      <c r="B39" s="133"/>
      <c r="C39" s="133"/>
      <c r="D39" s="133"/>
      <c r="E39" s="133"/>
      <c r="F39" s="133"/>
    </row>
    <row r="40" spans="1:6">
      <c r="A40" s="133"/>
      <c r="B40" s="133"/>
      <c r="C40" s="133"/>
      <c r="D40" s="133"/>
      <c r="E40" s="133"/>
      <c r="F40" s="133"/>
    </row>
    <row r="41" spans="1:6">
      <c r="A41" s="133"/>
      <c r="B41" s="133"/>
      <c r="C41" s="133"/>
      <c r="D41" s="133"/>
      <c r="E41" s="133"/>
      <c r="F41" s="133"/>
    </row>
    <row r="42" spans="1:6">
      <c r="A42" s="133"/>
      <c r="B42" s="133"/>
      <c r="C42" s="133"/>
      <c r="D42" s="133"/>
      <c r="E42" s="133"/>
      <c r="F42" s="133"/>
    </row>
    <row r="43" spans="1:6">
      <c r="A43" s="133"/>
      <c r="B43" s="133"/>
      <c r="C43" s="133"/>
      <c r="D43" s="133"/>
      <c r="E43" s="133"/>
      <c r="F43" s="133"/>
    </row>
    <row r="44" spans="1:6">
      <c r="A44" s="133"/>
      <c r="B44" s="133"/>
      <c r="C44" s="133"/>
      <c r="D44" s="133"/>
      <c r="E44" s="133"/>
      <c r="F44" s="133"/>
    </row>
    <row r="45" spans="1:6">
      <c r="A45" s="133"/>
      <c r="B45" s="133"/>
      <c r="C45" s="133"/>
      <c r="D45" s="133"/>
      <c r="E45" s="133"/>
      <c r="F45" s="133"/>
    </row>
    <row r="46" spans="1:6">
      <c r="A46" s="133"/>
      <c r="B46" s="133"/>
      <c r="C46" s="133"/>
      <c r="D46" s="133"/>
      <c r="E46" s="133"/>
      <c r="F46" s="133"/>
    </row>
    <row r="47" spans="1:6">
      <c r="A47" s="133"/>
      <c r="B47" s="133"/>
      <c r="C47" s="133"/>
      <c r="D47" s="133"/>
      <c r="E47" s="133"/>
      <c r="F47" s="133"/>
    </row>
    <row r="48" spans="1:6">
      <c r="A48" s="133"/>
      <c r="B48" s="133"/>
      <c r="C48" s="133"/>
      <c r="D48" s="133"/>
      <c r="E48" s="133"/>
      <c r="F48" s="133"/>
    </row>
    <row r="49" spans="1:6">
      <c r="A49" s="133"/>
      <c r="B49" s="133"/>
      <c r="C49" s="133"/>
      <c r="D49" s="133"/>
      <c r="E49" s="133"/>
      <c r="F49" s="133"/>
    </row>
    <row r="50" spans="1:6">
      <c r="A50" s="133"/>
      <c r="B50" s="133"/>
      <c r="C50" s="133"/>
      <c r="D50" s="133"/>
      <c r="E50" s="133"/>
      <c r="F50" s="133"/>
    </row>
    <row r="51" spans="1:6">
      <c r="A51" s="133"/>
      <c r="B51" s="133"/>
      <c r="C51" s="133"/>
      <c r="D51" s="133"/>
      <c r="E51" s="133"/>
      <c r="F51" s="133"/>
    </row>
    <row r="52" spans="1:6">
      <c r="A52" s="133"/>
      <c r="B52" s="133"/>
      <c r="C52" s="133"/>
      <c r="D52" s="133"/>
      <c r="E52" s="133"/>
      <c r="F52" s="133"/>
    </row>
    <row r="53" spans="1:6">
      <c r="A53" s="133"/>
      <c r="B53" s="133"/>
      <c r="C53" s="133"/>
      <c r="D53" s="133"/>
      <c r="E53" s="133"/>
      <c r="F53" s="133"/>
    </row>
    <row r="54" spans="1:6">
      <c r="A54" s="133"/>
      <c r="B54" s="133"/>
      <c r="C54" s="133"/>
      <c r="D54" s="133"/>
      <c r="E54" s="133"/>
      <c r="F54" s="133"/>
    </row>
    <row r="55" spans="1:6">
      <c r="A55" s="133"/>
      <c r="B55" s="133"/>
      <c r="C55" s="133"/>
      <c r="D55" s="133"/>
      <c r="E55" s="133"/>
      <c r="F55" s="133"/>
    </row>
    <row r="56" spans="1:6">
      <c r="A56" s="133"/>
      <c r="B56" s="133"/>
      <c r="C56" s="133"/>
      <c r="D56" s="133"/>
      <c r="E56" s="133"/>
      <c r="F56" s="133"/>
    </row>
    <row r="57" spans="1:6">
      <c r="A57" s="133"/>
      <c r="B57" s="133"/>
      <c r="C57" s="133"/>
      <c r="D57" s="133"/>
      <c r="E57" s="133"/>
      <c r="F57" s="133"/>
    </row>
    <row r="58" spans="1:6">
      <c r="A58" s="133"/>
      <c r="B58" s="133"/>
      <c r="C58" s="133"/>
      <c r="D58" s="133"/>
      <c r="E58" s="133"/>
      <c r="F58" s="133"/>
    </row>
    <row r="59" spans="1:6">
      <c r="A59" s="133"/>
      <c r="B59" s="133"/>
      <c r="C59" s="133"/>
      <c r="D59" s="133"/>
      <c r="E59" s="133"/>
      <c r="F59" s="133"/>
    </row>
    <row r="60" spans="1:6">
      <c r="A60" s="133"/>
      <c r="B60" s="133"/>
      <c r="C60" s="133"/>
      <c r="D60" s="133"/>
      <c r="E60" s="133"/>
      <c r="F60" s="133"/>
    </row>
    <row r="61" spans="1:6">
      <c r="A61" s="133"/>
      <c r="B61" s="133"/>
      <c r="C61" s="133"/>
      <c r="D61" s="133"/>
      <c r="E61" s="133"/>
      <c r="F61" s="133"/>
    </row>
    <row r="62" spans="1:6">
      <c r="A62" s="133"/>
      <c r="B62" s="133"/>
      <c r="C62" s="133"/>
      <c r="D62" s="133"/>
      <c r="E62" s="133"/>
      <c r="F62" s="133"/>
    </row>
    <row r="63" spans="1:6">
      <c r="A63" s="133"/>
      <c r="B63" s="133"/>
      <c r="C63" s="133"/>
      <c r="D63" s="133"/>
      <c r="E63" s="133"/>
      <c r="F63" s="133"/>
    </row>
    <row r="64" spans="1:6">
      <c r="A64" s="133"/>
      <c r="B64" s="133"/>
      <c r="C64" s="133"/>
      <c r="D64" s="133"/>
      <c r="E64" s="133"/>
      <c r="F64" s="133"/>
    </row>
    <row r="65" spans="1:6">
      <c r="A65" s="133"/>
      <c r="B65" s="133"/>
      <c r="C65" s="133"/>
      <c r="D65" s="133"/>
      <c r="E65" s="133"/>
      <c r="F65" s="133"/>
    </row>
    <row r="66" spans="1:6">
      <c r="A66" s="133"/>
      <c r="B66" s="133"/>
      <c r="C66" s="133"/>
      <c r="D66" s="133"/>
      <c r="E66" s="133"/>
      <c r="F66" s="133"/>
    </row>
    <row r="67" spans="1:6">
      <c r="A67" s="133"/>
      <c r="B67" s="133"/>
      <c r="C67" s="133"/>
      <c r="D67" s="133"/>
      <c r="E67" s="133"/>
      <c r="F67" s="133"/>
    </row>
    <row r="68" spans="1:6">
      <c r="A68" s="133"/>
      <c r="B68" s="133"/>
      <c r="C68" s="133"/>
      <c r="D68" s="133"/>
      <c r="E68" s="133"/>
      <c r="F68" s="133"/>
    </row>
    <row r="69" spans="1:6">
      <c r="A69" s="133"/>
      <c r="B69" s="133"/>
      <c r="C69" s="133"/>
      <c r="D69" s="133"/>
      <c r="E69" s="133"/>
      <c r="F69" s="133"/>
    </row>
    <row r="70" spans="1:6">
      <c r="A70" s="133"/>
      <c r="B70" s="133"/>
      <c r="C70" s="133"/>
      <c r="D70" s="133"/>
      <c r="E70" s="133"/>
      <c r="F70" s="133"/>
    </row>
    <row r="71" spans="1:6">
      <c r="A71" s="133"/>
      <c r="B71" s="133"/>
      <c r="C71" s="133"/>
      <c r="D71" s="133"/>
      <c r="E71" s="133"/>
      <c r="F71" s="133"/>
    </row>
  </sheetData>
  <mergeCells count="2">
    <mergeCell ref="A5:C5"/>
    <mergeCell ref="B8:C8"/>
  </mergeCells>
  <hyperlinks>
    <hyperlink ref="D1" location="BG!A1" display="BG" xr:uid="{00000000-0004-0000-0D00-000000000000}"/>
  </hyperlinks>
  <pageMargins left="0.25" right="0.25" top="0.75" bottom="0.75" header="0.3" footer="0.3"/>
  <pageSetup paperSize="9" scale="9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654"/>
  <sheetViews>
    <sheetView topLeftCell="A13" workbookViewId="0">
      <selection activeCell="C28" sqref="C28"/>
    </sheetView>
  </sheetViews>
  <sheetFormatPr baseColWidth="10" defaultRowHeight="15"/>
  <cols>
    <col min="1" max="1" width="8.7109375" style="545" bestFit="1" customWidth="1"/>
    <col min="2" max="2" width="24.85546875" style="545" bestFit="1" customWidth="1"/>
    <col min="3" max="3" width="15.85546875" style="651" bestFit="1" customWidth="1"/>
    <col min="4" max="4" width="15.140625" style="596" bestFit="1" customWidth="1"/>
    <col min="5" max="5" width="15.140625" bestFit="1" customWidth="1"/>
    <col min="8" max="8" width="18" customWidth="1"/>
    <col min="9" max="9" width="15.140625" style="502" bestFit="1" customWidth="1"/>
    <col min="10" max="10" width="15.140625" style="502" customWidth="1"/>
    <col min="11" max="11" width="11.42578125" customWidth="1"/>
    <col min="12" max="12" width="14.140625" bestFit="1" customWidth="1"/>
    <col min="13" max="13" width="15.140625" style="677" bestFit="1" customWidth="1"/>
    <col min="14" max="15" width="15.28515625" style="677" bestFit="1" customWidth="1"/>
    <col min="18" max="19" width="14.140625" bestFit="1" customWidth="1"/>
  </cols>
  <sheetData>
    <row r="1" spans="1:18">
      <c r="A1" s="541" t="s">
        <v>1168</v>
      </c>
      <c r="B1" s="541" t="s">
        <v>1169</v>
      </c>
      <c r="C1" s="650" t="s">
        <v>1170</v>
      </c>
      <c r="D1" s="589" t="s">
        <v>1171</v>
      </c>
      <c r="G1" t="s">
        <v>2094</v>
      </c>
      <c r="P1" t="s">
        <v>2095</v>
      </c>
      <c r="R1" t="s">
        <v>2096</v>
      </c>
    </row>
    <row r="2" spans="1:18">
      <c r="A2" s="541" t="s">
        <v>1174</v>
      </c>
      <c r="B2" s="541" t="s">
        <v>484</v>
      </c>
      <c r="P2" t="s">
        <v>2097</v>
      </c>
      <c r="R2" t="s">
        <v>2098</v>
      </c>
    </row>
    <row r="3" spans="1:18">
      <c r="A3" s="541" t="s">
        <v>1175</v>
      </c>
      <c r="B3" s="541" t="s">
        <v>1176</v>
      </c>
      <c r="G3" t="s">
        <v>17</v>
      </c>
    </row>
    <row r="4" spans="1:18">
      <c r="A4" s="541" t="s">
        <v>1177</v>
      </c>
      <c r="B4" s="541" t="s">
        <v>1178</v>
      </c>
      <c r="G4" t="s">
        <v>2099</v>
      </c>
      <c r="K4" t="s">
        <v>2100</v>
      </c>
    </row>
    <row r="5" spans="1:18">
      <c r="A5" s="541" t="s">
        <v>1179</v>
      </c>
      <c r="B5" s="541" t="s">
        <v>1180</v>
      </c>
      <c r="G5" t="s">
        <v>484</v>
      </c>
    </row>
    <row r="6" spans="1:18">
      <c r="A6" s="597" t="s">
        <v>1181</v>
      </c>
      <c r="B6" s="597" t="s">
        <v>1182</v>
      </c>
      <c r="C6" s="652">
        <v>2211409</v>
      </c>
      <c r="D6" s="598">
        <f>+C6</f>
        <v>2211409</v>
      </c>
      <c r="G6">
        <v>11</v>
      </c>
      <c r="H6" t="s">
        <v>2101</v>
      </c>
      <c r="Q6">
        <v>24852041797</v>
      </c>
    </row>
    <row r="7" spans="1:18">
      <c r="A7" s="597" t="s">
        <v>1920</v>
      </c>
      <c r="B7" s="597" t="s">
        <v>965</v>
      </c>
      <c r="C7" s="652">
        <v>13418749</v>
      </c>
      <c r="D7" s="598">
        <f>+C7</f>
        <v>13418749</v>
      </c>
      <c r="G7">
        <v>1101</v>
      </c>
      <c r="H7" t="s">
        <v>2102</v>
      </c>
      <c r="O7" s="677">
        <v>2458378025</v>
      </c>
    </row>
    <row r="8" spans="1:18">
      <c r="A8" s="597" t="s">
        <v>1825</v>
      </c>
      <c r="B8" s="597" t="s">
        <v>942</v>
      </c>
      <c r="C8" s="652">
        <v>40918683</v>
      </c>
      <c r="D8" s="598">
        <f>+C8</f>
        <v>40918683</v>
      </c>
      <c r="G8">
        <v>110101</v>
      </c>
      <c r="H8" t="s">
        <v>2103</v>
      </c>
      <c r="N8" s="677">
        <v>110768108</v>
      </c>
    </row>
    <row r="9" spans="1:18">
      <c r="A9" s="597" t="s">
        <v>1921</v>
      </c>
      <c r="B9" s="597" t="s">
        <v>1922</v>
      </c>
      <c r="C9" s="652">
        <v>-4640871</v>
      </c>
      <c r="D9" s="598">
        <f>+C9</f>
        <v>-4640871</v>
      </c>
      <c r="G9">
        <v>110101001</v>
      </c>
      <c r="H9" t="s">
        <v>2104</v>
      </c>
      <c r="M9" s="677">
        <v>2211409</v>
      </c>
    </row>
    <row r="10" spans="1:18">
      <c r="A10" s="597" t="s">
        <v>1187</v>
      </c>
      <c r="B10" s="597" t="s">
        <v>1188</v>
      </c>
      <c r="C10" s="652">
        <v>58860138</v>
      </c>
      <c r="D10" s="598">
        <f>+C10</f>
        <v>58860138</v>
      </c>
      <c r="G10">
        <v>110101003</v>
      </c>
      <c r="H10" t="s">
        <v>2105</v>
      </c>
      <c r="M10" s="677">
        <v>13418749</v>
      </c>
    </row>
    <row r="11" spans="1:18">
      <c r="A11" s="541" t="s">
        <v>1179</v>
      </c>
      <c r="B11" s="541" t="s">
        <v>1180</v>
      </c>
      <c r="C11" s="650">
        <f>SUM(C6:C10)</f>
        <v>110768108</v>
      </c>
      <c r="D11" s="589">
        <f>SUM(D6:D10)</f>
        <v>110768108</v>
      </c>
      <c r="G11">
        <v>110101005</v>
      </c>
      <c r="H11" t="s">
        <v>2106</v>
      </c>
      <c r="M11" s="677">
        <v>40918683</v>
      </c>
    </row>
    <row r="12" spans="1:18">
      <c r="A12" s="541" t="s">
        <v>1189</v>
      </c>
      <c r="B12" s="541" t="s">
        <v>1190</v>
      </c>
      <c r="G12">
        <v>110101010</v>
      </c>
      <c r="H12" t="s">
        <v>2107</v>
      </c>
      <c r="M12" s="677">
        <v>-1794473</v>
      </c>
    </row>
    <row r="13" spans="1:18">
      <c r="A13" s="597">
        <v>110111001</v>
      </c>
      <c r="B13" s="597" t="s">
        <v>1191</v>
      </c>
      <c r="C13" s="652">
        <v>4931391</v>
      </c>
      <c r="D13" s="598">
        <f>+C13</f>
        <v>4931391</v>
      </c>
      <c r="G13">
        <v>110101011</v>
      </c>
      <c r="H13" t="s">
        <v>2108</v>
      </c>
      <c r="M13" s="677">
        <v>1548310</v>
      </c>
      <c r="N13" s="677">
        <f>SUM(M12:M14)</f>
        <v>-4640871</v>
      </c>
    </row>
    <row r="14" spans="1:18">
      <c r="A14" s="597">
        <v>110111002</v>
      </c>
      <c r="B14" s="597" t="s">
        <v>1192</v>
      </c>
      <c r="C14" s="652">
        <v>345208</v>
      </c>
      <c r="D14" s="598">
        <f t="shared" ref="D14:D36" si="0">+C14</f>
        <v>345208</v>
      </c>
      <c r="G14">
        <v>110101012</v>
      </c>
      <c r="H14" t="s">
        <v>2109</v>
      </c>
      <c r="M14" s="677">
        <v>-4394708</v>
      </c>
    </row>
    <row r="15" spans="1:18">
      <c r="A15" s="597">
        <v>110111003</v>
      </c>
      <c r="B15" s="597" t="s">
        <v>1193</v>
      </c>
      <c r="C15" s="652">
        <v>96179652</v>
      </c>
      <c r="D15" s="598">
        <f t="shared" si="0"/>
        <v>96179652</v>
      </c>
      <c r="G15">
        <v>110101028</v>
      </c>
      <c r="H15" t="s">
        <v>2110</v>
      </c>
      <c r="M15" s="677">
        <v>58860138</v>
      </c>
    </row>
    <row r="16" spans="1:18">
      <c r="A16" s="597">
        <v>110111006</v>
      </c>
      <c r="B16" s="597" t="s">
        <v>1728</v>
      </c>
      <c r="C16" s="652">
        <v>866577</v>
      </c>
      <c r="D16" s="598">
        <f t="shared" si="0"/>
        <v>866577</v>
      </c>
      <c r="G16">
        <v>110111</v>
      </c>
      <c r="H16" t="s">
        <v>2111</v>
      </c>
      <c r="N16" s="677">
        <v>2240036701</v>
      </c>
    </row>
    <row r="17" spans="1:13">
      <c r="A17" s="597">
        <v>110111007</v>
      </c>
      <c r="B17" s="597" t="s">
        <v>1729</v>
      </c>
      <c r="C17" s="652">
        <v>9684114</v>
      </c>
      <c r="D17" s="598">
        <f t="shared" si="0"/>
        <v>9684114</v>
      </c>
      <c r="G17">
        <v>110111001</v>
      </c>
      <c r="H17" t="s">
        <v>2112</v>
      </c>
      <c r="M17" s="677">
        <v>4931391</v>
      </c>
    </row>
    <row r="18" spans="1:13">
      <c r="A18" s="597">
        <v>110111008</v>
      </c>
      <c r="B18" s="597" t="s">
        <v>1730</v>
      </c>
      <c r="C18" s="652">
        <v>8351854</v>
      </c>
      <c r="D18" s="598">
        <f t="shared" si="0"/>
        <v>8351854</v>
      </c>
      <c r="G18">
        <v>110111002</v>
      </c>
      <c r="H18" t="s">
        <v>2113</v>
      </c>
      <c r="M18" s="677">
        <v>345208</v>
      </c>
    </row>
    <row r="19" spans="1:13">
      <c r="A19" s="597">
        <v>110111009</v>
      </c>
      <c r="B19" s="597" t="s">
        <v>1731</v>
      </c>
      <c r="C19" s="652">
        <v>71579697</v>
      </c>
      <c r="D19" s="598">
        <f t="shared" si="0"/>
        <v>71579697</v>
      </c>
      <c r="G19">
        <v>110111003</v>
      </c>
      <c r="H19" t="s">
        <v>2114</v>
      </c>
      <c r="M19" s="677">
        <v>96179652</v>
      </c>
    </row>
    <row r="20" spans="1:13">
      <c r="A20" s="597">
        <v>110111010</v>
      </c>
      <c r="B20" s="597" t="s">
        <v>1732</v>
      </c>
      <c r="C20" s="652">
        <v>70634856</v>
      </c>
      <c r="D20" s="598">
        <f t="shared" si="0"/>
        <v>70634856</v>
      </c>
      <c r="G20">
        <v>110111006</v>
      </c>
      <c r="H20" t="s">
        <v>2115</v>
      </c>
      <c r="M20" s="677">
        <v>866577</v>
      </c>
    </row>
    <row r="21" spans="1:13">
      <c r="A21" s="597">
        <v>110111011</v>
      </c>
      <c r="B21" s="597" t="s">
        <v>1733</v>
      </c>
      <c r="C21" s="652">
        <v>7621450</v>
      </c>
      <c r="D21" s="598">
        <f t="shared" si="0"/>
        <v>7621450</v>
      </c>
      <c r="G21">
        <v>110111007</v>
      </c>
      <c r="H21" t="s">
        <v>2116</v>
      </c>
      <c r="M21" s="677">
        <v>9684114</v>
      </c>
    </row>
    <row r="22" spans="1:13">
      <c r="A22" s="597">
        <v>110111012</v>
      </c>
      <c r="B22" s="597" t="s">
        <v>1734</v>
      </c>
      <c r="C22" s="652">
        <v>7660000</v>
      </c>
      <c r="D22" s="598">
        <f t="shared" si="0"/>
        <v>7660000</v>
      </c>
      <c r="G22">
        <v>110111008</v>
      </c>
      <c r="H22" t="s">
        <v>2117</v>
      </c>
      <c r="M22" s="677">
        <v>8351854</v>
      </c>
    </row>
    <row r="23" spans="1:13">
      <c r="A23" s="597">
        <v>110111013</v>
      </c>
      <c r="B23" s="597" t="s">
        <v>1194</v>
      </c>
      <c r="C23" s="652">
        <v>20059736</v>
      </c>
      <c r="D23" s="598">
        <f t="shared" si="0"/>
        <v>20059736</v>
      </c>
      <c r="G23">
        <v>110111009</v>
      </c>
      <c r="H23" t="s">
        <v>2118</v>
      </c>
      <c r="M23" s="677">
        <v>71579697</v>
      </c>
    </row>
    <row r="24" spans="1:13">
      <c r="A24" s="597">
        <v>110111014</v>
      </c>
      <c r="B24" s="597" t="s">
        <v>1735</v>
      </c>
      <c r="C24" s="652">
        <v>7604000</v>
      </c>
      <c r="D24" s="598">
        <f t="shared" si="0"/>
        <v>7604000</v>
      </c>
      <c r="G24">
        <v>110111010</v>
      </c>
      <c r="H24" t="s">
        <v>2119</v>
      </c>
      <c r="M24" s="677">
        <v>70634856</v>
      </c>
    </row>
    <row r="25" spans="1:13">
      <c r="A25" s="597">
        <v>110111015</v>
      </c>
      <c r="B25" s="597" t="s">
        <v>1736</v>
      </c>
      <c r="C25" s="652">
        <v>7604000</v>
      </c>
      <c r="D25" s="598">
        <f t="shared" si="0"/>
        <v>7604000</v>
      </c>
      <c r="G25">
        <v>110111011</v>
      </c>
      <c r="H25" t="s">
        <v>2120</v>
      </c>
      <c r="M25" s="677">
        <v>7621450</v>
      </c>
    </row>
    <row r="26" spans="1:13">
      <c r="A26" s="597">
        <v>110111016</v>
      </c>
      <c r="B26" s="597" t="s">
        <v>1737</v>
      </c>
      <c r="C26" s="652">
        <v>7613800</v>
      </c>
      <c r="D26" s="598">
        <f t="shared" si="0"/>
        <v>7613800</v>
      </c>
      <c r="G26">
        <v>110111012</v>
      </c>
      <c r="H26" t="s">
        <v>2121</v>
      </c>
      <c r="M26" s="677">
        <v>7660000</v>
      </c>
    </row>
    <row r="27" spans="1:13">
      <c r="A27" s="597">
        <v>110111017</v>
      </c>
      <c r="B27" s="597" t="s">
        <v>1855</v>
      </c>
      <c r="C27" s="652">
        <v>7239620</v>
      </c>
      <c r="D27" s="598">
        <f t="shared" si="0"/>
        <v>7239620</v>
      </c>
      <c r="G27">
        <v>110111013</v>
      </c>
      <c r="H27" t="s">
        <v>2122</v>
      </c>
      <c r="M27" s="677">
        <v>20059736</v>
      </c>
    </row>
    <row r="28" spans="1:13">
      <c r="A28" s="597">
        <v>110111018</v>
      </c>
      <c r="B28" s="597" t="s">
        <v>1915</v>
      </c>
      <c r="C28" s="652">
        <v>184375926</v>
      </c>
      <c r="D28" s="598">
        <f t="shared" si="0"/>
        <v>184375926</v>
      </c>
      <c r="G28">
        <v>110111014</v>
      </c>
      <c r="H28" t="s">
        <v>2123</v>
      </c>
      <c r="M28" s="677">
        <v>7604000</v>
      </c>
    </row>
    <row r="29" spans="1:13">
      <c r="A29" s="597">
        <v>110111030</v>
      </c>
      <c r="B29" s="597" t="s">
        <v>943</v>
      </c>
      <c r="C29" s="652">
        <v>2037189</v>
      </c>
      <c r="D29" s="598">
        <f t="shared" si="0"/>
        <v>2037189</v>
      </c>
      <c r="G29">
        <v>110111015</v>
      </c>
      <c r="H29" t="s">
        <v>2124</v>
      </c>
      <c r="M29" s="677">
        <v>7604000</v>
      </c>
    </row>
    <row r="30" spans="1:13">
      <c r="A30" s="597">
        <v>110111031</v>
      </c>
      <c r="B30" s="597" t="s">
        <v>1195</v>
      </c>
      <c r="C30" s="652">
        <v>-1632591</v>
      </c>
      <c r="D30" s="598">
        <f t="shared" si="0"/>
        <v>-1632591</v>
      </c>
      <c r="G30">
        <v>110111016</v>
      </c>
      <c r="H30" t="s">
        <v>2125</v>
      </c>
      <c r="M30" s="677">
        <v>7613800</v>
      </c>
    </row>
    <row r="31" spans="1:13">
      <c r="A31" s="597">
        <v>110111032</v>
      </c>
      <c r="B31" s="597" t="s">
        <v>1196</v>
      </c>
      <c r="C31" s="652">
        <v>14801886</v>
      </c>
      <c r="D31" s="598">
        <f t="shared" si="0"/>
        <v>14801886</v>
      </c>
      <c r="G31">
        <v>110111017</v>
      </c>
      <c r="H31" t="s">
        <v>2126</v>
      </c>
      <c r="M31" s="677">
        <v>7239620</v>
      </c>
    </row>
    <row r="32" spans="1:13">
      <c r="A32" s="597">
        <v>110111034</v>
      </c>
      <c r="B32" s="597" t="s">
        <v>1739</v>
      </c>
      <c r="C32" s="652">
        <v>4846731</v>
      </c>
      <c r="D32" s="598">
        <f t="shared" si="0"/>
        <v>4846731</v>
      </c>
      <c r="G32">
        <v>110111018</v>
      </c>
      <c r="H32" t="s">
        <v>2127</v>
      </c>
      <c r="M32" s="677">
        <v>184375926</v>
      </c>
    </row>
    <row r="33" spans="1:15">
      <c r="A33" s="597">
        <v>110111035</v>
      </c>
      <c r="B33" s="597" t="s">
        <v>1826</v>
      </c>
      <c r="C33" s="652">
        <v>3926888</v>
      </c>
      <c r="D33" s="598">
        <f t="shared" si="0"/>
        <v>3926888</v>
      </c>
      <c r="G33">
        <v>110111030</v>
      </c>
      <c r="H33" t="s">
        <v>2128</v>
      </c>
      <c r="M33" s="677">
        <v>2037189</v>
      </c>
    </row>
    <row r="34" spans="1:15">
      <c r="A34" s="597">
        <v>110111036</v>
      </c>
      <c r="B34" s="597" t="s">
        <v>1923</v>
      </c>
      <c r="C34" s="652">
        <v>589088</v>
      </c>
      <c r="D34" s="598">
        <f t="shared" si="0"/>
        <v>589088</v>
      </c>
      <c r="G34">
        <v>110111031</v>
      </c>
      <c r="H34" t="s">
        <v>2129</v>
      </c>
      <c r="M34" s="677">
        <v>-1632591</v>
      </c>
    </row>
    <row r="35" spans="1:15">
      <c r="A35" s="597">
        <v>110111037</v>
      </c>
      <c r="B35" s="597" t="s">
        <v>1856</v>
      </c>
      <c r="C35" s="652">
        <v>1448093</v>
      </c>
      <c r="D35" s="598">
        <f t="shared" si="0"/>
        <v>1448093</v>
      </c>
      <c r="G35">
        <v>110111032</v>
      </c>
      <c r="H35" t="s">
        <v>2130</v>
      </c>
      <c r="M35" s="677">
        <v>14801886</v>
      </c>
    </row>
    <row r="36" spans="1:15">
      <c r="A36" s="597">
        <v>110111038</v>
      </c>
      <c r="B36" s="597" t="s">
        <v>2304</v>
      </c>
      <c r="C36" s="652">
        <v>1701667536</v>
      </c>
      <c r="D36" s="598">
        <f t="shared" si="0"/>
        <v>1701667536</v>
      </c>
      <c r="G36">
        <v>110111034</v>
      </c>
      <c r="H36" t="s">
        <v>2131</v>
      </c>
      <c r="M36" s="677">
        <v>4846731</v>
      </c>
    </row>
    <row r="37" spans="1:15">
      <c r="A37" s="541">
        <v>110111</v>
      </c>
      <c r="B37" s="541" t="s">
        <v>1190</v>
      </c>
      <c r="C37" s="650">
        <f>SUM(C13:C36)</f>
        <v>2240036701</v>
      </c>
      <c r="D37" s="589">
        <f>SUM(D13:D36)</f>
        <v>2240036701</v>
      </c>
      <c r="G37">
        <v>110111035</v>
      </c>
      <c r="H37" t="s">
        <v>2132</v>
      </c>
      <c r="M37" s="677">
        <v>3926888</v>
      </c>
    </row>
    <row r="38" spans="1:15">
      <c r="A38" s="541" t="s">
        <v>1197</v>
      </c>
      <c r="B38" s="541" t="s">
        <v>1198</v>
      </c>
      <c r="G38">
        <v>110111036</v>
      </c>
      <c r="H38" t="s">
        <v>2133</v>
      </c>
      <c r="M38" s="677">
        <v>589088</v>
      </c>
    </row>
    <row r="39" spans="1:15">
      <c r="A39" s="597" t="s">
        <v>1924</v>
      </c>
      <c r="B39" s="597" t="s">
        <v>1925</v>
      </c>
      <c r="C39" s="652">
        <v>107573216</v>
      </c>
      <c r="D39" s="598">
        <f>+C39</f>
        <v>107573216</v>
      </c>
      <c r="G39">
        <v>110111037</v>
      </c>
      <c r="H39" t="s">
        <v>2134</v>
      </c>
      <c r="M39" s="677">
        <v>1448093</v>
      </c>
    </row>
    <row r="40" spans="1:15">
      <c r="A40" s="541" t="s">
        <v>1197</v>
      </c>
      <c r="B40" s="541" t="s">
        <v>1198</v>
      </c>
      <c r="C40" s="650">
        <f>+C39</f>
        <v>107573216</v>
      </c>
      <c r="D40" s="589">
        <f>+D39</f>
        <v>107573216</v>
      </c>
      <c r="G40">
        <v>110111038</v>
      </c>
      <c r="H40" t="s">
        <v>2135</v>
      </c>
      <c r="M40" s="677">
        <v>1701667536</v>
      </c>
    </row>
    <row r="41" spans="1:15">
      <c r="A41" s="541" t="s">
        <v>1177</v>
      </c>
      <c r="B41" s="541" t="s">
        <v>1178</v>
      </c>
      <c r="C41" s="650">
        <f>+C40+C37+C11</f>
        <v>2458378025</v>
      </c>
      <c r="D41" s="589">
        <f>+D40+D37+D11</f>
        <v>2458378025</v>
      </c>
      <c r="G41">
        <v>110121</v>
      </c>
      <c r="H41" t="s">
        <v>2136</v>
      </c>
      <c r="N41" s="677">
        <v>107573216</v>
      </c>
    </row>
    <row r="42" spans="1:15">
      <c r="A42" s="541" t="s">
        <v>1200</v>
      </c>
      <c r="B42" s="541" t="s">
        <v>1201</v>
      </c>
      <c r="G42">
        <v>110121002</v>
      </c>
      <c r="H42" t="s">
        <v>2137</v>
      </c>
      <c r="M42" s="677">
        <v>107573216</v>
      </c>
    </row>
    <row r="43" spans="1:15">
      <c r="A43" s="541" t="s">
        <v>1202</v>
      </c>
      <c r="B43" s="541" t="s">
        <v>1203</v>
      </c>
      <c r="G43">
        <v>1102</v>
      </c>
      <c r="H43" t="s">
        <v>2138</v>
      </c>
      <c r="O43" s="677">
        <v>6106165047</v>
      </c>
    </row>
    <row r="44" spans="1:15">
      <c r="A44" s="597" t="s">
        <v>1204</v>
      </c>
      <c r="B44" s="597" t="s">
        <v>1740</v>
      </c>
      <c r="C44" s="653">
        <v>260033252</v>
      </c>
      <c r="D44" s="598">
        <f>+C44</f>
        <v>260033252</v>
      </c>
      <c r="G44">
        <v>110201001</v>
      </c>
      <c r="H44" t="s">
        <v>2139</v>
      </c>
      <c r="M44" s="677">
        <v>260033252</v>
      </c>
    </row>
    <row r="45" spans="1:15">
      <c r="A45" s="597" t="s">
        <v>1205</v>
      </c>
      <c r="B45" s="597" t="s">
        <v>1741</v>
      </c>
      <c r="C45" s="653">
        <v>484627616</v>
      </c>
      <c r="D45" s="598">
        <f>+C45</f>
        <v>484627616</v>
      </c>
      <c r="G45">
        <v>110201002</v>
      </c>
      <c r="H45" t="s">
        <v>2140</v>
      </c>
      <c r="M45" s="677">
        <v>484627616</v>
      </c>
    </row>
    <row r="46" spans="1:15">
      <c r="A46" s="597" t="s">
        <v>1206</v>
      </c>
      <c r="B46" s="597" t="s">
        <v>1207</v>
      </c>
      <c r="C46" s="653">
        <v>121274665</v>
      </c>
      <c r="D46" s="598">
        <f>+C46</f>
        <v>121274665</v>
      </c>
      <c r="G46">
        <v>110201007</v>
      </c>
      <c r="H46" t="s">
        <v>2141</v>
      </c>
      <c r="M46" s="677">
        <v>121274665</v>
      </c>
    </row>
    <row r="47" spans="1:15">
      <c r="A47" s="597" t="s">
        <v>1742</v>
      </c>
      <c r="B47" s="597" t="s">
        <v>1743</v>
      </c>
      <c r="C47" s="653">
        <v>71904452</v>
      </c>
      <c r="D47" s="598">
        <f>+C47</f>
        <v>71904452</v>
      </c>
      <c r="G47">
        <v>110201010</v>
      </c>
      <c r="H47" t="s">
        <v>2142</v>
      </c>
      <c r="M47" s="677">
        <v>71904452</v>
      </c>
    </row>
    <row r="48" spans="1:15">
      <c r="A48" s="541" t="s">
        <v>1744</v>
      </c>
      <c r="B48" s="541" t="s">
        <v>1745</v>
      </c>
      <c r="C48" s="652">
        <v>9127390</v>
      </c>
      <c r="D48" s="598">
        <f>+C48</f>
        <v>9127390</v>
      </c>
      <c r="G48">
        <v>110201031</v>
      </c>
      <c r="H48" t="s">
        <v>2143</v>
      </c>
      <c r="M48" s="677">
        <v>9127390</v>
      </c>
    </row>
    <row r="49" spans="1:14">
      <c r="A49" s="541" t="s">
        <v>1202</v>
      </c>
      <c r="B49" s="541" t="s">
        <v>1203</v>
      </c>
      <c r="C49" s="650">
        <f>SUM(C44:C48)</f>
        <v>946967375</v>
      </c>
      <c r="D49" s="650">
        <f>SUM(D44:D48)</f>
        <v>946967375</v>
      </c>
      <c r="G49">
        <v>110211</v>
      </c>
      <c r="H49" t="s">
        <v>2144</v>
      </c>
      <c r="N49" s="677">
        <v>4696691097</v>
      </c>
    </row>
    <row r="50" spans="1:14">
      <c r="A50" s="541" t="s">
        <v>1208</v>
      </c>
      <c r="B50" s="541" t="s">
        <v>1209</v>
      </c>
      <c r="G50">
        <v>110211012</v>
      </c>
      <c r="H50" t="s">
        <v>2145</v>
      </c>
      <c r="M50" s="677">
        <v>4587722946</v>
      </c>
    </row>
    <row r="51" spans="1:14">
      <c r="A51" s="597" t="s">
        <v>1210</v>
      </c>
      <c r="B51" s="597" t="s">
        <v>1211</v>
      </c>
      <c r="C51" s="654">
        <v>4587722946</v>
      </c>
      <c r="D51" s="598">
        <f>+C51</f>
        <v>4587722946</v>
      </c>
      <c r="G51">
        <v>110221</v>
      </c>
      <c r="H51" t="s">
        <v>2146</v>
      </c>
      <c r="N51" s="677">
        <v>54811</v>
      </c>
    </row>
    <row r="52" spans="1:14">
      <c r="A52" s="597" t="s">
        <v>1831</v>
      </c>
      <c r="B52" s="597" t="s">
        <v>1832</v>
      </c>
      <c r="C52" s="655"/>
      <c r="D52" s="598"/>
      <c r="G52">
        <v>110221001</v>
      </c>
      <c r="H52" t="s">
        <v>2147</v>
      </c>
      <c r="M52" s="677">
        <v>54811</v>
      </c>
    </row>
    <row r="53" spans="1:14">
      <c r="A53" s="541" t="s">
        <v>1208</v>
      </c>
      <c r="B53" s="541" t="s">
        <v>1209</v>
      </c>
      <c r="C53" s="656">
        <f>SUM(C51:C52)</f>
        <v>4587722946</v>
      </c>
      <c r="D53" s="656">
        <f>SUM(D51:D52)</f>
        <v>4587722946</v>
      </c>
      <c r="G53">
        <v>110221007</v>
      </c>
      <c r="H53" t="s">
        <v>2148</v>
      </c>
      <c r="M53" s="677">
        <v>206910</v>
      </c>
      <c r="N53" s="677">
        <f>SUM(M52:M53)</f>
        <v>261721</v>
      </c>
    </row>
    <row r="54" spans="1:14">
      <c r="A54" s="541" t="s">
        <v>1212</v>
      </c>
      <c r="B54" s="541" t="s">
        <v>1213</v>
      </c>
      <c r="G54">
        <v>110221009</v>
      </c>
      <c r="H54" t="s">
        <v>2149</v>
      </c>
      <c r="M54" s="677">
        <v>13071105</v>
      </c>
    </row>
    <row r="55" spans="1:14">
      <c r="A55" s="541" t="s">
        <v>1926</v>
      </c>
      <c r="B55" s="541" t="s">
        <v>1214</v>
      </c>
      <c r="C55" s="657">
        <v>13071105</v>
      </c>
      <c r="D55" s="589">
        <f>+C55</f>
        <v>13071105</v>
      </c>
      <c r="G55">
        <v>110221010</v>
      </c>
      <c r="H55" t="s">
        <v>2150</v>
      </c>
      <c r="M55" s="677">
        <v>21272576</v>
      </c>
    </row>
    <row r="56" spans="1:14">
      <c r="A56" s="597" t="s">
        <v>1927</v>
      </c>
      <c r="B56" s="597" t="s">
        <v>1928</v>
      </c>
      <c r="C56" s="656">
        <v>21272576</v>
      </c>
      <c r="D56" s="589">
        <f>+C56</f>
        <v>21272576</v>
      </c>
      <c r="G56">
        <v>110221011</v>
      </c>
      <c r="H56" t="s">
        <v>2151</v>
      </c>
      <c r="M56" s="677">
        <v>60427827</v>
      </c>
    </row>
    <row r="57" spans="1:14">
      <c r="A57" s="597" t="s">
        <v>1929</v>
      </c>
      <c r="B57" s="597" t="s">
        <v>274</v>
      </c>
      <c r="C57" s="657">
        <v>60427827</v>
      </c>
      <c r="D57" s="589">
        <f>+C57</f>
        <v>60427827</v>
      </c>
      <c r="G57">
        <v>110221014</v>
      </c>
      <c r="H57" t="s">
        <v>2152</v>
      </c>
      <c r="M57" s="677">
        <v>13989733</v>
      </c>
    </row>
    <row r="58" spans="1:14">
      <c r="A58" s="597" t="s">
        <v>1930</v>
      </c>
      <c r="B58" s="597" t="s">
        <v>1747</v>
      </c>
      <c r="C58" s="657">
        <v>261721</v>
      </c>
      <c r="D58" s="589">
        <f>+C58</f>
        <v>261721</v>
      </c>
      <c r="G58">
        <v>110231011</v>
      </c>
      <c r="H58" t="s">
        <v>2153</v>
      </c>
      <c r="M58" s="677">
        <v>12604644</v>
      </c>
    </row>
    <row r="59" spans="1:14">
      <c r="A59" s="541" t="s">
        <v>1931</v>
      </c>
      <c r="B59" s="541" t="s">
        <v>1215</v>
      </c>
      <c r="C59" s="654">
        <v>13989733</v>
      </c>
      <c r="D59" s="589">
        <f>+C59</f>
        <v>13989733</v>
      </c>
      <c r="G59">
        <v>110251</v>
      </c>
      <c r="H59" t="s">
        <v>2154</v>
      </c>
      <c r="N59" s="677">
        <v>449847120</v>
      </c>
    </row>
    <row r="60" spans="1:14">
      <c r="A60" s="597" t="s">
        <v>1212</v>
      </c>
      <c r="B60" s="597" t="s">
        <v>1213</v>
      </c>
      <c r="C60" s="655">
        <f>SUM(C55:C59)</f>
        <v>109022962</v>
      </c>
      <c r="D60" s="655">
        <f>SUM(D55:D59)</f>
        <v>109022962</v>
      </c>
      <c r="G60">
        <v>110251011</v>
      </c>
      <c r="H60" t="s">
        <v>2155</v>
      </c>
      <c r="M60" s="677">
        <v>24000000</v>
      </c>
    </row>
    <row r="61" spans="1:14">
      <c r="A61" s="541" t="s">
        <v>1216</v>
      </c>
      <c r="B61" s="541" t="s">
        <v>1217</v>
      </c>
      <c r="C61" s="650"/>
      <c r="D61" s="589"/>
      <c r="G61">
        <v>110251021</v>
      </c>
      <c r="H61" t="s">
        <v>2156</v>
      </c>
      <c r="M61" s="677">
        <v>5954228</v>
      </c>
    </row>
    <row r="62" spans="1:14">
      <c r="A62" s="541" t="s">
        <v>1932</v>
      </c>
      <c r="B62" s="541" t="s">
        <v>883</v>
      </c>
      <c r="C62" s="654">
        <v>12604644</v>
      </c>
      <c r="D62" s="589">
        <f>+C62</f>
        <v>12604644</v>
      </c>
      <c r="G62">
        <v>110251022</v>
      </c>
      <c r="H62" t="s">
        <v>2157</v>
      </c>
      <c r="M62" s="677">
        <v>68435219</v>
      </c>
    </row>
    <row r="63" spans="1:14">
      <c r="A63" s="597" t="s">
        <v>1216</v>
      </c>
      <c r="B63" s="597" t="s">
        <v>1217</v>
      </c>
      <c r="C63" s="655">
        <f>SUM(C62)</f>
        <v>12604644</v>
      </c>
      <c r="D63" s="655">
        <f>SUM(D62)</f>
        <v>12604644</v>
      </c>
      <c r="G63">
        <v>110251023</v>
      </c>
      <c r="H63" t="s">
        <v>2158</v>
      </c>
      <c r="M63" s="677">
        <v>349999997</v>
      </c>
    </row>
    <row r="64" spans="1:14">
      <c r="A64" s="541" t="s">
        <v>1933</v>
      </c>
      <c r="B64" s="541" t="s">
        <v>1903</v>
      </c>
      <c r="G64">
        <v>110251024</v>
      </c>
      <c r="H64" t="s">
        <v>2159</v>
      </c>
      <c r="M64" s="677">
        <v>1457676</v>
      </c>
    </row>
    <row r="65" spans="1:15">
      <c r="A65" s="541" t="s">
        <v>1934</v>
      </c>
      <c r="B65" s="541" t="s">
        <v>1858</v>
      </c>
      <c r="C65" s="656"/>
      <c r="D65" s="589"/>
    </row>
    <row r="66" spans="1:15">
      <c r="A66" s="597" t="s">
        <v>1933</v>
      </c>
      <c r="B66" s="597" t="s">
        <v>1903</v>
      </c>
      <c r="C66" s="655"/>
      <c r="D66" s="598"/>
    </row>
    <row r="67" spans="1:15">
      <c r="A67" s="541" t="s">
        <v>1219</v>
      </c>
      <c r="B67" s="541" t="s">
        <v>1220</v>
      </c>
    </row>
    <row r="68" spans="1:15">
      <c r="A68" s="541" t="s">
        <v>1935</v>
      </c>
      <c r="B68" s="541" t="s">
        <v>272</v>
      </c>
      <c r="C68" s="654">
        <v>24000000</v>
      </c>
      <c r="D68" s="589">
        <f t="shared" ref="D68:D73" si="1">+C68</f>
        <v>24000000</v>
      </c>
    </row>
    <row r="69" spans="1:15">
      <c r="A69" s="597" t="s">
        <v>1936</v>
      </c>
      <c r="B69" s="597" t="s">
        <v>1917</v>
      </c>
      <c r="C69" s="654">
        <v>0</v>
      </c>
      <c r="D69" s="589">
        <f t="shared" si="1"/>
        <v>0</v>
      </c>
    </row>
    <row r="70" spans="1:15">
      <c r="A70" s="597" t="s">
        <v>1937</v>
      </c>
      <c r="B70" s="597" t="s">
        <v>1716</v>
      </c>
      <c r="C70" s="658">
        <v>5954228</v>
      </c>
      <c r="D70" s="589">
        <f t="shared" si="1"/>
        <v>5954228</v>
      </c>
    </row>
    <row r="71" spans="1:15">
      <c r="A71" s="597" t="s">
        <v>1938</v>
      </c>
      <c r="B71" s="597" t="s">
        <v>1352</v>
      </c>
      <c r="C71" s="654">
        <v>68435219</v>
      </c>
      <c r="D71" s="589">
        <f t="shared" si="1"/>
        <v>68435219</v>
      </c>
    </row>
    <row r="72" spans="1:15">
      <c r="A72" s="597" t="s">
        <v>1939</v>
      </c>
      <c r="B72" s="597" t="s">
        <v>1833</v>
      </c>
      <c r="C72" s="654">
        <v>349999997</v>
      </c>
      <c r="D72" s="589">
        <f t="shared" si="1"/>
        <v>349999997</v>
      </c>
    </row>
    <row r="73" spans="1:15">
      <c r="A73" s="597" t="s">
        <v>1940</v>
      </c>
      <c r="B73" s="597" t="s">
        <v>1918</v>
      </c>
      <c r="C73" s="654">
        <v>1457676</v>
      </c>
      <c r="D73" s="589">
        <f t="shared" si="1"/>
        <v>1457676</v>
      </c>
    </row>
    <row r="74" spans="1:15">
      <c r="A74" s="597" t="s">
        <v>1219</v>
      </c>
      <c r="B74" s="597" t="s">
        <v>1220</v>
      </c>
      <c r="C74" s="655">
        <f>SUM(C68:C73)</f>
        <v>449847120</v>
      </c>
      <c r="D74" s="655">
        <f>SUM(D68:D73)</f>
        <v>449847120</v>
      </c>
    </row>
    <row r="75" spans="1:15">
      <c r="A75" s="541" t="s">
        <v>1200</v>
      </c>
      <c r="B75" s="541" t="s">
        <v>1201</v>
      </c>
      <c r="C75" s="650">
        <f>+C74+C63+C60+C53+C49</f>
        <v>6106165047</v>
      </c>
      <c r="D75" s="650">
        <f>+D74+D63+D60+D53+D49</f>
        <v>6106165047</v>
      </c>
    </row>
    <row r="76" spans="1:15">
      <c r="A76" s="541" t="s">
        <v>1221</v>
      </c>
      <c r="B76" s="541" t="s">
        <v>1222</v>
      </c>
      <c r="C76" s="650"/>
      <c r="D76" s="589"/>
      <c r="G76">
        <v>1103</v>
      </c>
      <c r="H76" t="s">
        <v>2160</v>
      </c>
      <c r="O76" s="677">
        <v>16287498725</v>
      </c>
    </row>
    <row r="77" spans="1:15">
      <c r="A77" s="541" t="s">
        <v>1223</v>
      </c>
      <c r="B77" s="541" t="s">
        <v>1224</v>
      </c>
      <c r="C77" s="650"/>
      <c r="D77" s="589"/>
      <c r="G77">
        <v>110301</v>
      </c>
      <c r="H77" t="s">
        <v>2161</v>
      </c>
      <c r="N77" s="677">
        <v>7179295175</v>
      </c>
    </row>
    <row r="78" spans="1:15">
      <c r="A78" s="541" t="s">
        <v>1941</v>
      </c>
      <c r="B78" s="541" t="s">
        <v>1225</v>
      </c>
      <c r="C78" s="651">
        <f>4777180449+1100000000</f>
        <v>5877180449</v>
      </c>
      <c r="D78" s="596">
        <f>+C78</f>
        <v>5877180449</v>
      </c>
      <c r="G78">
        <v>110301001</v>
      </c>
      <c r="H78" t="s">
        <v>2162</v>
      </c>
      <c r="M78" s="677">
        <v>4777180449</v>
      </c>
    </row>
    <row r="79" spans="1:15">
      <c r="A79" s="541" t="s">
        <v>1942</v>
      </c>
      <c r="B79" s="541" t="s">
        <v>1226</v>
      </c>
      <c r="C79" s="651">
        <v>-15759797</v>
      </c>
      <c r="D79" s="596">
        <f>+C79</f>
        <v>-15759797</v>
      </c>
      <c r="G79">
        <v>110301002</v>
      </c>
      <c r="H79" t="s">
        <v>2163</v>
      </c>
      <c r="M79" s="677">
        <v>-15759797</v>
      </c>
    </row>
    <row r="80" spans="1:15">
      <c r="A80" s="541" t="s">
        <v>1943</v>
      </c>
      <c r="B80" s="541" t="s">
        <v>1227</v>
      </c>
      <c r="C80" s="650">
        <v>2417874523</v>
      </c>
      <c r="D80" s="596">
        <f>+C80</f>
        <v>2417874523</v>
      </c>
      <c r="G80">
        <v>110301003</v>
      </c>
      <c r="H80" t="s">
        <v>2164</v>
      </c>
      <c r="M80" s="677">
        <v>2417874523</v>
      </c>
    </row>
    <row r="81" spans="1:14">
      <c r="A81" s="541" t="s">
        <v>1944</v>
      </c>
      <c r="B81" s="541" t="s">
        <v>1228</v>
      </c>
      <c r="C81" s="650"/>
      <c r="D81" s="589"/>
      <c r="G81">
        <v>110302</v>
      </c>
      <c r="H81" t="s">
        <v>2165</v>
      </c>
      <c r="N81" s="677">
        <v>3037251291</v>
      </c>
    </row>
    <row r="82" spans="1:14">
      <c r="A82" s="541" t="s">
        <v>1223</v>
      </c>
      <c r="B82" s="541" t="s">
        <v>1224</v>
      </c>
      <c r="C82" s="650">
        <f>SUM(C78:C81)</f>
        <v>8279295175</v>
      </c>
      <c r="D82" s="650">
        <f>SUM(D78:D81)</f>
        <v>8279295175</v>
      </c>
      <c r="G82">
        <v>110302001</v>
      </c>
      <c r="H82" t="s">
        <v>2166</v>
      </c>
      <c r="M82" s="677">
        <v>876113161</v>
      </c>
    </row>
    <row r="83" spans="1:14">
      <c r="A83" s="541" t="s">
        <v>1229</v>
      </c>
      <c r="B83" s="541" t="s">
        <v>1230</v>
      </c>
      <c r="C83" s="650"/>
      <c r="D83" s="589"/>
      <c r="G83">
        <v>110302002</v>
      </c>
      <c r="H83" t="s">
        <v>2167</v>
      </c>
      <c r="M83" s="677">
        <v>302245057</v>
      </c>
    </row>
    <row r="84" spans="1:14">
      <c r="A84" s="541" t="s">
        <v>1945</v>
      </c>
      <c r="B84" s="541" t="s">
        <v>1231</v>
      </c>
      <c r="C84" s="650">
        <v>876113161</v>
      </c>
      <c r="D84" s="589">
        <f>+C84</f>
        <v>876113161</v>
      </c>
      <c r="G84">
        <v>110302003</v>
      </c>
      <c r="H84" t="s">
        <v>2168</v>
      </c>
      <c r="M84" s="677">
        <v>1858893073</v>
      </c>
    </row>
    <row r="85" spans="1:14">
      <c r="A85" s="541" t="s">
        <v>1946</v>
      </c>
      <c r="B85" s="541" t="s">
        <v>1232</v>
      </c>
      <c r="C85" s="651">
        <v>302245057</v>
      </c>
      <c r="D85" s="589">
        <f>+C85</f>
        <v>302245057</v>
      </c>
      <c r="G85">
        <v>110303</v>
      </c>
      <c r="H85" t="s">
        <v>2169</v>
      </c>
      <c r="N85" s="677">
        <v>243221728</v>
      </c>
    </row>
    <row r="86" spans="1:14">
      <c r="A86" s="541" t="s">
        <v>1947</v>
      </c>
      <c r="B86" s="541" t="s">
        <v>1233</v>
      </c>
      <c r="C86" s="650">
        <v>1858893073</v>
      </c>
      <c r="D86" s="589">
        <f>+C86</f>
        <v>1858893073</v>
      </c>
      <c r="G86">
        <v>110303001</v>
      </c>
      <c r="H86" t="s">
        <v>2170</v>
      </c>
      <c r="M86" s="677">
        <v>11811501</v>
      </c>
    </row>
    <row r="87" spans="1:14">
      <c r="A87" s="541" t="s">
        <v>1229</v>
      </c>
      <c r="B87" s="541" t="s">
        <v>1230</v>
      </c>
      <c r="C87" s="650">
        <f>SUM(C84:C86)</f>
        <v>3037251291</v>
      </c>
      <c r="D87" s="650">
        <f>SUM(D84:D86)</f>
        <v>3037251291</v>
      </c>
      <c r="G87">
        <v>110303002</v>
      </c>
      <c r="H87" t="s">
        <v>2170</v>
      </c>
      <c r="M87" s="677">
        <v>118915547</v>
      </c>
    </row>
    <row r="88" spans="1:14">
      <c r="A88" s="541" t="s">
        <v>1234</v>
      </c>
      <c r="B88" s="541" t="s">
        <v>1235</v>
      </c>
      <c r="C88" s="650"/>
      <c r="D88" s="589"/>
      <c r="G88">
        <v>110303003</v>
      </c>
      <c r="H88" t="s">
        <v>2171</v>
      </c>
      <c r="M88" s="677">
        <v>112494680</v>
      </c>
    </row>
    <row r="89" spans="1:14">
      <c r="A89" s="541" t="s">
        <v>1948</v>
      </c>
      <c r="B89" s="541" t="s">
        <v>1236</v>
      </c>
      <c r="C89" s="650">
        <v>11811501</v>
      </c>
      <c r="D89" s="589">
        <f>+C89</f>
        <v>11811501</v>
      </c>
      <c r="G89">
        <v>110304</v>
      </c>
      <c r="H89" t="s">
        <v>2172</v>
      </c>
      <c r="N89" s="677">
        <v>2902115684</v>
      </c>
    </row>
    <row r="90" spans="1:14">
      <c r="A90" s="541" t="s">
        <v>1949</v>
      </c>
      <c r="B90" s="541" t="s">
        <v>1236</v>
      </c>
      <c r="C90" s="651">
        <v>118915547</v>
      </c>
      <c r="D90" s="589">
        <f t="shared" ref="D90:D91" si="2">+C90</f>
        <v>118915547</v>
      </c>
      <c r="G90">
        <v>110304001</v>
      </c>
      <c r="H90" t="s">
        <v>2173</v>
      </c>
      <c r="M90" s="677">
        <v>1640883867</v>
      </c>
    </row>
    <row r="91" spans="1:14">
      <c r="A91" s="541" t="s">
        <v>1950</v>
      </c>
      <c r="B91" s="541" t="s">
        <v>1237</v>
      </c>
      <c r="C91" s="650">
        <v>112494680</v>
      </c>
      <c r="D91" s="589">
        <f t="shared" si="2"/>
        <v>112494680</v>
      </c>
      <c r="G91">
        <v>110304002</v>
      </c>
      <c r="H91" t="s">
        <v>2174</v>
      </c>
      <c r="M91" s="677">
        <v>719672135</v>
      </c>
    </row>
    <row r="92" spans="1:14">
      <c r="A92" s="541" t="s">
        <v>1234</v>
      </c>
      <c r="B92" s="541" t="s">
        <v>1235</v>
      </c>
      <c r="C92" s="650">
        <f>SUM(C89:C91)</f>
        <v>243221728</v>
      </c>
      <c r="D92" s="650">
        <f>SUM(D89:D91)</f>
        <v>243221728</v>
      </c>
      <c r="G92">
        <v>110304003</v>
      </c>
      <c r="H92" t="s">
        <v>2175</v>
      </c>
      <c r="M92" s="677">
        <v>541559682</v>
      </c>
    </row>
    <row r="93" spans="1:14">
      <c r="A93" s="541" t="s">
        <v>1951</v>
      </c>
      <c r="B93" s="541" t="s">
        <v>1238</v>
      </c>
      <c r="C93" s="650"/>
      <c r="D93" s="589"/>
      <c r="G93">
        <v>110305</v>
      </c>
      <c r="H93" t="s">
        <v>2176</v>
      </c>
      <c r="N93" s="677">
        <v>910151295</v>
      </c>
    </row>
    <row r="94" spans="1:14">
      <c r="A94" s="541" t="s">
        <v>1952</v>
      </c>
      <c r="B94" s="541" t="s">
        <v>1750</v>
      </c>
      <c r="C94" s="650">
        <v>1640883867</v>
      </c>
      <c r="D94" s="589">
        <f>+C94</f>
        <v>1640883867</v>
      </c>
      <c r="G94">
        <v>110305001</v>
      </c>
      <c r="H94" t="s">
        <v>2177</v>
      </c>
      <c r="M94" s="677">
        <v>606132779</v>
      </c>
    </row>
    <row r="95" spans="1:14">
      <c r="A95" s="541" t="s">
        <v>1953</v>
      </c>
      <c r="B95" s="541" t="s">
        <v>1751</v>
      </c>
      <c r="C95" s="651">
        <v>719672135</v>
      </c>
      <c r="D95" s="589">
        <f t="shared" ref="D95:D96" si="3">+C95</f>
        <v>719672135</v>
      </c>
      <c r="G95">
        <v>110305002</v>
      </c>
      <c r="H95" t="s">
        <v>2178</v>
      </c>
      <c r="M95" s="677">
        <v>-1271704</v>
      </c>
    </row>
    <row r="96" spans="1:14">
      <c r="A96" s="541" t="s">
        <v>1954</v>
      </c>
      <c r="B96" s="541" t="s">
        <v>1752</v>
      </c>
      <c r="C96" s="650">
        <v>541559682</v>
      </c>
      <c r="D96" s="589">
        <f t="shared" si="3"/>
        <v>541559682</v>
      </c>
      <c r="G96">
        <v>110305003</v>
      </c>
      <c r="H96" t="s">
        <v>2179</v>
      </c>
      <c r="M96" s="677">
        <v>305290220</v>
      </c>
    </row>
    <row r="97" spans="1:17">
      <c r="A97" s="541" t="s">
        <v>1951</v>
      </c>
      <c r="B97" s="541" t="s">
        <v>1238</v>
      </c>
      <c r="C97" s="650">
        <f>SUM(C94:C96)</f>
        <v>2902115684</v>
      </c>
      <c r="D97" s="650">
        <f>SUM(D94:D96)</f>
        <v>2902115684</v>
      </c>
      <c r="G97">
        <v>110306</v>
      </c>
      <c r="H97" t="s">
        <v>2180</v>
      </c>
      <c r="N97" s="677">
        <v>15016302</v>
      </c>
    </row>
    <row r="98" spans="1:17">
      <c r="A98" s="541" t="s">
        <v>1239</v>
      </c>
      <c r="B98" s="541" t="s">
        <v>1240</v>
      </c>
      <c r="C98" s="650"/>
      <c r="D98" s="589"/>
      <c r="G98">
        <v>110306006</v>
      </c>
      <c r="H98" t="s">
        <v>2181</v>
      </c>
      <c r="M98" s="677">
        <v>10156368</v>
      </c>
    </row>
    <row r="99" spans="1:17">
      <c r="A99" s="541" t="s">
        <v>1955</v>
      </c>
      <c r="B99" s="541" t="s">
        <v>1241</v>
      </c>
      <c r="C99" s="650">
        <v>606132779</v>
      </c>
      <c r="D99" s="589">
        <f>+C99</f>
        <v>606132779</v>
      </c>
      <c r="G99">
        <v>110306007</v>
      </c>
      <c r="H99" t="s">
        <v>2182</v>
      </c>
      <c r="M99" s="677">
        <v>4859934</v>
      </c>
    </row>
    <row r="100" spans="1:17">
      <c r="A100" s="541" t="s">
        <v>1956</v>
      </c>
      <c r="B100" s="541" t="s">
        <v>1753</v>
      </c>
      <c r="C100" s="651">
        <v>-1271704</v>
      </c>
      <c r="D100" s="589">
        <f t="shared" ref="D100:D101" si="4">+C100</f>
        <v>-1271704</v>
      </c>
      <c r="G100">
        <v>110350</v>
      </c>
      <c r="H100" t="s">
        <v>2183</v>
      </c>
      <c r="N100" s="677">
        <v>25436880</v>
      </c>
    </row>
    <row r="101" spans="1:17">
      <c r="A101" s="541" t="s">
        <v>1957</v>
      </c>
      <c r="B101" s="541" t="s">
        <v>1242</v>
      </c>
      <c r="C101" s="650">
        <v>305290220</v>
      </c>
      <c r="D101" s="589">
        <f t="shared" si="4"/>
        <v>305290220</v>
      </c>
      <c r="G101">
        <v>110350003</v>
      </c>
      <c r="H101" t="s">
        <v>2184</v>
      </c>
      <c r="M101" s="677">
        <v>25436880</v>
      </c>
    </row>
    <row r="102" spans="1:17">
      <c r="A102" s="541" t="s">
        <v>1239</v>
      </c>
      <c r="B102" s="541" t="s">
        <v>1240</v>
      </c>
      <c r="C102" s="650">
        <f>SUM(C99:C101)</f>
        <v>910151295</v>
      </c>
      <c r="D102" s="650">
        <f>SUM(D99:D101)</f>
        <v>910151295</v>
      </c>
      <c r="G102">
        <v>110352</v>
      </c>
      <c r="H102" t="s">
        <v>2185</v>
      </c>
      <c r="N102" s="677">
        <v>28125900</v>
      </c>
    </row>
    <row r="103" spans="1:17">
      <c r="A103" s="541" t="s">
        <v>1243</v>
      </c>
      <c r="B103" s="541" t="s">
        <v>1244</v>
      </c>
      <c r="C103" s="650"/>
      <c r="D103" s="589"/>
      <c r="G103">
        <v>110352002</v>
      </c>
      <c r="H103" t="s">
        <v>2186</v>
      </c>
      <c r="M103" s="677">
        <v>1830495</v>
      </c>
    </row>
    <row r="104" spans="1:17">
      <c r="A104" s="541" t="s">
        <v>1958</v>
      </c>
      <c r="B104" s="541" t="s">
        <v>1245</v>
      </c>
      <c r="C104" s="650">
        <v>10156368</v>
      </c>
      <c r="D104" s="589">
        <v>10156368</v>
      </c>
      <c r="G104">
        <v>110352003</v>
      </c>
      <c r="H104" t="s">
        <v>2187</v>
      </c>
      <c r="M104" s="677">
        <v>26295405</v>
      </c>
    </row>
    <row r="105" spans="1:17">
      <c r="A105" s="541" t="s">
        <v>1959</v>
      </c>
      <c r="B105" s="541" t="s">
        <v>1246</v>
      </c>
      <c r="C105" s="651">
        <v>4859934</v>
      </c>
      <c r="D105" s="596">
        <v>4859934</v>
      </c>
      <c r="G105">
        <v>110355</v>
      </c>
      <c r="H105" t="s">
        <v>2188</v>
      </c>
      <c r="N105" s="677">
        <v>9798864</v>
      </c>
    </row>
    <row r="106" spans="1:17">
      <c r="A106" s="541" t="s">
        <v>1243</v>
      </c>
      <c r="B106" s="541" t="s">
        <v>1244</v>
      </c>
      <c r="C106" s="650">
        <f>SUM(C104:C105)</f>
        <v>15016302</v>
      </c>
      <c r="D106" s="589">
        <v>15016302</v>
      </c>
      <c r="G106">
        <v>110355002</v>
      </c>
      <c r="H106" t="s">
        <v>2189</v>
      </c>
      <c r="M106" s="677">
        <v>41860</v>
      </c>
    </row>
    <row r="107" spans="1:17">
      <c r="A107" s="541" t="s">
        <v>1247</v>
      </c>
      <c r="B107" s="541" t="s">
        <v>1248</v>
      </c>
      <c r="C107" s="650"/>
      <c r="D107" s="589"/>
      <c r="G107">
        <v>110355003</v>
      </c>
      <c r="H107" t="s">
        <v>2190</v>
      </c>
      <c r="M107" s="677">
        <v>9757004</v>
      </c>
    </row>
    <row r="108" spans="1:17">
      <c r="A108" s="541" t="s">
        <v>1960</v>
      </c>
      <c r="B108" s="541" t="s">
        <v>1249</v>
      </c>
      <c r="C108" s="650">
        <v>25436880</v>
      </c>
      <c r="D108" s="589">
        <f>+C108</f>
        <v>25436880</v>
      </c>
      <c r="G108">
        <v>110357</v>
      </c>
      <c r="H108" t="s">
        <v>2191</v>
      </c>
      <c r="N108" s="677">
        <v>20339641</v>
      </c>
      <c r="Q108">
        <v>16802287249</v>
      </c>
    </row>
    <row r="109" spans="1:17">
      <c r="A109" s="541" t="s">
        <v>1247</v>
      </c>
      <c r="B109" s="541" t="s">
        <v>1248</v>
      </c>
      <c r="C109" s="651">
        <f>SUM(C108)</f>
        <v>25436880</v>
      </c>
      <c r="D109" s="651">
        <f>SUM(D108)</f>
        <v>25436880</v>
      </c>
      <c r="G109">
        <v>110357001</v>
      </c>
      <c r="H109" t="s">
        <v>2192</v>
      </c>
      <c r="M109" s="677">
        <v>409814</v>
      </c>
    </row>
    <row r="110" spans="1:17">
      <c r="A110" s="541" t="s">
        <v>1250</v>
      </c>
      <c r="B110" s="541" t="s">
        <v>1251</v>
      </c>
      <c r="C110" s="650"/>
      <c r="D110" s="589"/>
      <c r="G110">
        <v>110357002</v>
      </c>
      <c r="H110" t="s">
        <v>2193</v>
      </c>
      <c r="M110" s="677">
        <v>75807</v>
      </c>
    </row>
    <row r="111" spans="1:17">
      <c r="A111" s="541" t="s">
        <v>1961</v>
      </c>
      <c r="B111" s="541" t="s">
        <v>1252</v>
      </c>
      <c r="C111" s="650">
        <v>1830495</v>
      </c>
      <c r="D111" s="589">
        <v>1830495</v>
      </c>
      <c r="G111">
        <v>110357003</v>
      </c>
      <c r="H111" t="s">
        <v>2194</v>
      </c>
      <c r="M111" s="677">
        <v>9619262</v>
      </c>
    </row>
    <row r="112" spans="1:17">
      <c r="A112" s="541" t="s">
        <v>1962</v>
      </c>
      <c r="B112" s="541" t="s">
        <v>1253</v>
      </c>
      <c r="C112" s="651">
        <v>26295405</v>
      </c>
      <c r="D112" s="596">
        <v>26295405</v>
      </c>
      <c r="G112">
        <v>110357103</v>
      </c>
      <c r="H112" t="s">
        <v>2195</v>
      </c>
      <c r="M112" s="677">
        <v>10234758</v>
      </c>
    </row>
    <row r="113" spans="1:14">
      <c r="A113" s="541" t="s">
        <v>1250</v>
      </c>
      <c r="B113" s="541" t="s">
        <v>1251</v>
      </c>
      <c r="C113" s="650">
        <f>SUM(C111:C112)</f>
        <v>28125900</v>
      </c>
      <c r="D113" s="650">
        <f>SUM(D111:D112)</f>
        <v>28125900</v>
      </c>
      <c r="G113">
        <v>110359</v>
      </c>
      <c r="H113" t="s">
        <v>2196</v>
      </c>
      <c r="N113" s="677">
        <v>1916745965</v>
      </c>
    </row>
    <row r="114" spans="1:14">
      <c r="A114" s="541" t="s">
        <v>1254</v>
      </c>
      <c r="B114" s="541" t="s">
        <v>1255</v>
      </c>
      <c r="C114" s="650"/>
      <c r="D114" s="589"/>
      <c r="G114">
        <v>110359003</v>
      </c>
      <c r="H114" t="s">
        <v>2197</v>
      </c>
      <c r="M114" s="677">
        <v>2797614</v>
      </c>
    </row>
    <row r="115" spans="1:14">
      <c r="A115" s="541" t="s">
        <v>1963</v>
      </c>
      <c r="B115" s="541" t="s">
        <v>1256</v>
      </c>
      <c r="C115" s="650">
        <v>41860</v>
      </c>
      <c r="D115" s="589">
        <f>+C115</f>
        <v>41860</v>
      </c>
      <c r="G115">
        <v>110361003</v>
      </c>
      <c r="H115" t="s">
        <v>2198</v>
      </c>
      <c r="M115" s="677">
        <v>140841566</v>
      </c>
    </row>
    <row r="116" spans="1:14">
      <c r="A116" s="541" t="s">
        <v>1964</v>
      </c>
      <c r="B116" s="541" t="s">
        <v>1257</v>
      </c>
      <c r="C116" s="651">
        <v>9757004</v>
      </c>
      <c r="D116" s="589">
        <f>+C116</f>
        <v>9757004</v>
      </c>
      <c r="G116">
        <v>110365002</v>
      </c>
      <c r="H116" t="s">
        <v>2199</v>
      </c>
      <c r="M116" s="677">
        <v>32066767</v>
      </c>
    </row>
    <row r="117" spans="1:14">
      <c r="A117" s="541" t="s">
        <v>1254</v>
      </c>
      <c r="B117" s="541" t="s">
        <v>1255</v>
      </c>
      <c r="C117" s="650">
        <f>SUM(C115:C116)</f>
        <v>9798864</v>
      </c>
      <c r="D117" s="650">
        <f>SUM(D115:D116)</f>
        <v>9798864</v>
      </c>
      <c r="G117">
        <v>110365003</v>
      </c>
      <c r="H117" t="s">
        <v>2200</v>
      </c>
      <c r="M117" s="677">
        <v>46141186</v>
      </c>
    </row>
    <row r="118" spans="1:14">
      <c r="A118" s="541" t="s">
        <v>1258</v>
      </c>
      <c r="B118" s="541" t="s">
        <v>1259</v>
      </c>
      <c r="C118" s="650"/>
      <c r="D118" s="589"/>
      <c r="G118">
        <v>110391001</v>
      </c>
      <c r="H118" t="s">
        <v>2201</v>
      </c>
      <c r="M118" s="677">
        <v>1694898832</v>
      </c>
    </row>
    <row r="119" spans="1:14">
      <c r="A119" s="541" t="s">
        <v>1965</v>
      </c>
      <c r="B119" s="541" t="s">
        <v>1260</v>
      </c>
      <c r="C119" s="650">
        <v>409814</v>
      </c>
      <c r="D119" s="589">
        <f>+C119</f>
        <v>409814</v>
      </c>
    </row>
    <row r="120" spans="1:14">
      <c r="A120" s="541" t="s">
        <v>1966</v>
      </c>
      <c r="B120" s="541" t="s">
        <v>1261</v>
      </c>
      <c r="C120" s="651">
        <v>75807</v>
      </c>
      <c r="D120" s="589">
        <f t="shared" ref="D120:D122" si="5">+C120</f>
        <v>75807</v>
      </c>
    </row>
    <row r="121" spans="1:14">
      <c r="A121" s="541" t="s">
        <v>1967</v>
      </c>
      <c r="B121" s="541" t="s">
        <v>1262</v>
      </c>
      <c r="C121" s="650">
        <v>9619262</v>
      </c>
      <c r="D121" s="589">
        <f t="shared" si="5"/>
        <v>9619262</v>
      </c>
    </row>
    <row r="122" spans="1:14">
      <c r="A122" s="541" t="s">
        <v>1968</v>
      </c>
      <c r="B122" s="541" t="s">
        <v>1263</v>
      </c>
      <c r="C122" s="650">
        <v>10234758</v>
      </c>
      <c r="D122" s="589">
        <f t="shared" si="5"/>
        <v>10234758</v>
      </c>
    </row>
    <row r="123" spans="1:14">
      <c r="A123" s="541" t="s">
        <v>1258</v>
      </c>
      <c r="B123" s="541" t="s">
        <v>1259</v>
      </c>
      <c r="C123" s="650">
        <f>SUM(C119:C122)</f>
        <v>20339641</v>
      </c>
      <c r="D123" s="650">
        <f>SUM(D119:D122)</f>
        <v>20339641</v>
      </c>
    </row>
    <row r="124" spans="1:14">
      <c r="A124" s="541" t="s">
        <v>1264</v>
      </c>
      <c r="B124" s="541" t="s">
        <v>1265</v>
      </c>
      <c r="C124" s="650"/>
      <c r="D124" s="589"/>
    </row>
    <row r="125" spans="1:14">
      <c r="A125" s="541" t="s">
        <v>1969</v>
      </c>
      <c r="B125" s="541" t="s">
        <v>1266</v>
      </c>
      <c r="C125" s="650"/>
      <c r="D125" s="589">
        <f>+C125</f>
        <v>0</v>
      </c>
    </row>
    <row r="126" spans="1:14">
      <c r="A126" s="541" t="s">
        <v>1264</v>
      </c>
      <c r="B126" s="541" t="s">
        <v>1265</v>
      </c>
      <c r="C126" s="651">
        <f>SUM(C125)</f>
        <v>0</v>
      </c>
      <c r="D126" s="651">
        <f>SUM(D125)</f>
        <v>0</v>
      </c>
    </row>
    <row r="127" spans="1:14">
      <c r="A127" s="541" t="s">
        <v>1970</v>
      </c>
      <c r="B127" s="541" t="s">
        <v>1267</v>
      </c>
      <c r="C127" s="650"/>
      <c r="D127" s="589"/>
    </row>
    <row r="128" spans="1:14">
      <c r="A128" s="541" t="s">
        <v>1971</v>
      </c>
      <c r="B128" s="541" t="s">
        <v>1268</v>
      </c>
      <c r="C128" s="650"/>
      <c r="D128" s="589">
        <f>+C128</f>
        <v>0</v>
      </c>
    </row>
    <row r="129" spans="1:15">
      <c r="A129" s="541" t="s">
        <v>1970</v>
      </c>
      <c r="B129" s="541" t="s">
        <v>1267</v>
      </c>
      <c r="C129" s="651">
        <f>SUM(C128)</f>
        <v>0</v>
      </c>
      <c r="D129" s="651">
        <f>SUM(D128)</f>
        <v>0</v>
      </c>
    </row>
    <row r="130" spans="1:15">
      <c r="A130" s="541" t="s">
        <v>1972</v>
      </c>
      <c r="B130" s="541" t="s">
        <v>1269</v>
      </c>
      <c r="C130" s="650"/>
      <c r="D130" s="589"/>
    </row>
    <row r="131" spans="1:15">
      <c r="A131" s="541">
        <v>110359003</v>
      </c>
      <c r="B131" s="541" t="s">
        <v>2197</v>
      </c>
      <c r="C131" s="650">
        <v>2797614</v>
      </c>
      <c r="D131" s="589">
        <f>+C131</f>
        <v>2797614</v>
      </c>
    </row>
    <row r="132" spans="1:15">
      <c r="A132" s="541">
        <v>110361003</v>
      </c>
      <c r="B132" s="541" t="s">
        <v>2198</v>
      </c>
      <c r="C132" s="651">
        <v>140841566</v>
      </c>
      <c r="D132" s="589">
        <f t="shared" ref="D132:D135" si="6">+C132</f>
        <v>140841566</v>
      </c>
    </row>
    <row r="133" spans="1:15">
      <c r="A133" s="541">
        <v>110365002</v>
      </c>
      <c r="B133" s="541" t="s">
        <v>2199</v>
      </c>
      <c r="C133" s="650">
        <v>32066767</v>
      </c>
      <c r="D133" s="589">
        <f t="shared" si="6"/>
        <v>32066767</v>
      </c>
    </row>
    <row r="134" spans="1:15">
      <c r="A134" s="541">
        <v>110365003</v>
      </c>
      <c r="B134" s="541" t="s">
        <v>2200</v>
      </c>
      <c r="C134" s="650">
        <v>46141186</v>
      </c>
      <c r="D134" s="589">
        <f t="shared" si="6"/>
        <v>46141186</v>
      </c>
    </row>
    <row r="135" spans="1:15">
      <c r="A135" s="541">
        <v>110391001</v>
      </c>
      <c r="B135" s="541" t="s">
        <v>2201</v>
      </c>
      <c r="C135" s="650">
        <v>1694898832</v>
      </c>
      <c r="D135" s="589">
        <f t="shared" si="6"/>
        <v>1694898832</v>
      </c>
    </row>
    <row r="136" spans="1:15">
      <c r="A136" s="597" t="s">
        <v>1973</v>
      </c>
      <c r="B136" s="597" t="s">
        <v>1834</v>
      </c>
      <c r="C136" s="659">
        <f>SUM(C131:C135)</f>
        <v>1916745965</v>
      </c>
      <c r="D136" s="659">
        <f>SUM(D131:D135)</f>
        <v>1916745965</v>
      </c>
    </row>
    <row r="137" spans="1:15">
      <c r="A137" s="541" t="s">
        <v>1221</v>
      </c>
      <c r="B137" s="541" t="s">
        <v>1222</v>
      </c>
      <c r="C137" s="660">
        <f>+C136+C129+C126+C123+C117+C113+C109+C106+C102+C97+C92+C87+C82</f>
        <v>17387498725</v>
      </c>
      <c r="D137" s="660">
        <f>+D136+D129+D126+D123+D117+D113+D109+D106+D102+D97+D92+D87+D82</f>
        <v>17387498725</v>
      </c>
      <c r="E137" s="407">
        <f>+C137-O76</f>
        <v>1100000000</v>
      </c>
    </row>
    <row r="138" spans="1:15">
      <c r="A138" s="541" t="s">
        <v>1175</v>
      </c>
      <c r="B138" s="541" t="s">
        <v>1176</v>
      </c>
      <c r="C138" s="650">
        <f>+C137+C75+C41</f>
        <v>25952041797</v>
      </c>
      <c r="D138" s="650">
        <f>+D137+D75+D41</f>
        <v>25952041797</v>
      </c>
      <c r="E138">
        <v>24852041797</v>
      </c>
    </row>
    <row r="139" spans="1:15">
      <c r="A139" s="541" t="s">
        <v>1272</v>
      </c>
      <c r="B139" s="541" t="s">
        <v>1273</v>
      </c>
      <c r="C139" s="650"/>
      <c r="D139" s="589"/>
      <c r="E139" s="636">
        <f>+C138-E138</f>
        <v>1100000000</v>
      </c>
      <c r="G139">
        <v>12</v>
      </c>
      <c r="H139" t="s">
        <v>2202</v>
      </c>
    </row>
    <row r="140" spans="1:15">
      <c r="A140" s="541" t="s">
        <v>1274</v>
      </c>
      <c r="B140" s="541" t="s">
        <v>1275</v>
      </c>
      <c r="C140" s="650"/>
      <c r="D140" s="589"/>
      <c r="G140">
        <v>1201</v>
      </c>
      <c r="H140" t="s">
        <v>2203</v>
      </c>
      <c r="O140" s="677">
        <v>16673084933</v>
      </c>
    </row>
    <row r="141" spans="1:15">
      <c r="A141" s="541" t="s">
        <v>1276</v>
      </c>
      <c r="B141" s="541" t="s">
        <v>1277</v>
      </c>
      <c r="C141" s="661"/>
      <c r="D141" s="605"/>
      <c r="G141">
        <v>120101</v>
      </c>
      <c r="H141" t="s">
        <v>2204</v>
      </c>
      <c r="N141" s="677">
        <v>595503025</v>
      </c>
    </row>
    <row r="142" spans="1:15">
      <c r="A142" s="541" t="s">
        <v>1974</v>
      </c>
      <c r="B142" s="541" t="s">
        <v>1278</v>
      </c>
      <c r="C142" s="661">
        <v>1882082750</v>
      </c>
      <c r="D142" s="605">
        <f>+C142</f>
        <v>1882082750</v>
      </c>
      <c r="G142">
        <v>120101001</v>
      </c>
      <c r="H142" t="s">
        <v>2205</v>
      </c>
      <c r="M142" s="677">
        <v>1882082750</v>
      </c>
    </row>
    <row r="143" spans="1:15">
      <c r="A143" s="541" t="s">
        <v>1975</v>
      </c>
      <c r="B143" s="541" t="s">
        <v>1279</v>
      </c>
      <c r="C143" s="661">
        <v>-1286579725</v>
      </c>
      <c r="D143" s="605">
        <f>+C143</f>
        <v>-1286579725</v>
      </c>
      <c r="G143">
        <v>120101211</v>
      </c>
      <c r="H143" t="s">
        <v>2206</v>
      </c>
      <c r="M143" s="677">
        <v>-1286579725</v>
      </c>
    </row>
    <row r="144" spans="1:15">
      <c r="A144" s="541" t="s">
        <v>1276</v>
      </c>
      <c r="B144" s="541" t="s">
        <v>1277</v>
      </c>
      <c r="C144" s="662">
        <f>SUM(C142:C143)</f>
        <v>595503025</v>
      </c>
      <c r="D144" s="662">
        <f>SUM(D142:D143)</f>
        <v>595503025</v>
      </c>
      <c r="G144">
        <v>120102</v>
      </c>
      <c r="H144" t="s">
        <v>2207</v>
      </c>
      <c r="N144" s="677">
        <v>36035527</v>
      </c>
    </row>
    <row r="145" spans="1:14">
      <c r="A145" s="541" t="s">
        <v>1976</v>
      </c>
      <c r="B145" s="541" t="s">
        <v>1280</v>
      </c>
      <c r="C145" s="662"/>
      <c r="D145" s="606"/>
      <c r="G145">
        <v>120102001</v>
      </c>
      <c r="H145" t="s">
        <v>2208</v>
      </c>
      <c r="M145" s="677">
        <v>459472130</v>
      </c>
    </row>
    <row r="146" spans="1:14">
      <c r="A146" s="541" t="s">
        <v>1977</v>
      </c>
      <c r="B146" s="541" t="s">
        <v>969</v>
      </c>
      <c r="C146" s="662">
        <v>459472130</v>
      </c>
      <c r="D146" s="605">
        <f>+C146</f>
        <v>459472130</v>
      </c>
      <c r="G146">
        <v>120102002</v>
      </c>
      <c r="H146" t="s">
        <v>2209</v>
      </c>
      <c r="M146" s="677">
        <v>-423436603</v>
      </c>
    </row>
    <row r="147" spans="1:14">
      <c r="A147" s="541" t="s">
        <v>1978</v>
      </c>
      <c r="B147" s="541" t="s">
        <v>1281</v>
      </c>
      <c r="C147" s="661">
        <v>-423436603</v>
      </c>
      <c r="D147" s="605">
        <f>+C147</f>
        <v>-423436603</v>
      </c>
      <c r="G147">
        <v>120103</v>
      </c>
      <c r="H147" t="s">
        <v>2210</v>
      </c>
      <c r="N147" s="677">
        <v>68403560</v>
      </c>
    </row>
    <row r="148" spans="1:14">
      <c r="A148" s="541" t="s">
        <v>1976</v>
      </c>
      <c r="B148" s="541" t="s">
        <v>1280</v>
      </c>
      <c r="C148" s="662">
        <f>SUM(C146:C147)</f>
        <v>36035527</v>
      </c>
      <c r="D148" s="662">
        <f>SUM(D146:D147)</f>
        <v>36035527</v>
      </c>
      <c r="G148">
        <v>120103001</v>
      </c>
      <c r="H148" t="s">
        <v>2211</v>
      </c>
      <c r="M148" s="677">
        <v>446323175</v>
      </c>
    </row>
    <row r="149" spans="1:14">
      <c r="A149" s="541" t="s">
        <v>1979</v>
      </c>
      <c r="B149" s="541" t="s">
        <v>1282</v>
      </c>
      <c r="C149" s="662"/>
      <c r="D149" s="606"/>
      <c r="G149">
        <v>120103002</v>
      </c>
      <c r="H149" t="s">
        <v>2212</v>
      </c>
      <c r="M149" s="677">
        <v>-377919615</v>
      </c>
    </row>
    <row r="150" spans="1:14">
      <c r="A150" s="541" t="s">
        <v>1980</v>
      </c>
      <c r="B150" s="541" t="s">
        <v>913</v>
      </c>
      <c r="C150" s="662">
        <v>446323175</v>
      </c>
      <c r="D150" s="605">
        <f>+C150</f>
        <v>446323175</v>
      </c>
      <c r="G150">
        <v>120111</v>
      </c>
      <c r="H150" t="s">
        <v>2213</v>
      </c>
      <c r="N150" s="677">
        <v>270379337</v>
      </c>
    </row>
    <row r="151" spans="1:14">
      <c r="A151" s="541" t="s">
        <v>1981</v>
      </c>
      <c r="B151" s="541" t="s">
        <v>1283</v>
      </c>
      <c r="C151" s="661">
        <v>-377919615</v>
      </c>
      <c r="D151" s="605">
        <f>+C151</f>
        <v>-377919615</v>
      </c>
      <c r="G151">
        <v>120111001</v>
      </c>
      <c r="H151" t="s">
        <v>2214</v>
      </c>
      <c r="M151" s="677">
        <v>858888521</v>
      </c>
    </row>
    <row r="152" spans="1:14">
      <c r="A152" s="541" t="s">
        <v>1979</v>
      </c>
      <c r="B152" s="541" t="s">
        <v>1282</v>
      </c>
      <c r="C152" s="662">
        <f>SUM(C150:C151)</f>
        <v>68403560</v>
      </c>
      <c r="D152" s="662">
        <f>SUM(D150:D151)</f>
        <v>68403560</v>
      </c>
      <c r="G152">
        <v>120111010</v>
      </c>
      <c r="H152" t="s">
        <v>2215</v>
      </c>
      <c r="M152" s="677">
        <v>-588509184</v>
      </c>
    </row>
    <row r="153" spans="1:14">
      <c r="A153" s="541" t="s">
        <v>1982</v>
      </c>
      <c r="B153" s="541" t="s">
        <v>1284</v>
      </c>
      <c r="C153" s="662"/>
      <c r="D153" s="606"/>
      <c r="G153">
        <v>120115</v>
      </c>
      <c r="H153" t="s">
        <v>2216</v>
      </c>
      <c r="N153" s="677">
        <v>9819468051</v>
      </c>
    </row>
    <row r="154" spans="1:14">
      <c r="A154" s="541" t="s">
        <v>1983</v>
      </c>
      <c r="B154" s="541" t="s">
        <v>320</v>
      </c>
      <c r="C154" s="662">
        <v>858888521</v>
      </c>
      <c r="D154" s="605">
        <f>+C154</f>
        <v>858888521</v>
      </c>
      <c r="G154">
        <v>120115011</v>
      </c>
      <c r="H154" t="s">
        <v>2217</v>
      </c>
      <c r="M154" s="677">
        <v>311765700</v>
      </c>
    </row>
    <row r="155" spans="1:14">
      <c r="A155" s="541" t="s">
        <v>1984</v>
      </c>
      <c r="B155" s="541" t="s">
        <v>1285</v>
      </c>
      <c r="C155" s="661">
        <v>-588509184</v>
      </c>
      <c r="D155" s="605">
        <f>+C155</f>
        <v>-588509184</v>
      </c>
      <c r="G155">
        <v>120115012</v>
      </c>
      <c r="H155" t="s">
        <v>2218</v>
      </c>
      <c r="M155" s="677">
        <v>-203200373</v>
      </c>
    </row>
    <row r="156" spans="1:14">
      <c r="A156" s="541" t="s">
        <v>1982</v>
      </c>
      <c r="B156" s="541" t="s">
        <v>1284</v>
      </c>
      <c r="C156" s="662">
        <f>SUM(C154:C155)</f>
        <v>270379337</v>
      </c>
      <c r="D156" s="676">
        <f>SUM(D154:D155)</f>
        <v>270379337</v>
      </c>
      <c r="G156">
        <v>120115013</v>
      </c>
      <c r="H156" t="s">
        <v>2219</v>
      </c>
      <c r="M156" s="677">
        <v>1802900347</v>
      </c>
    </row>
    <row r="157" spans="1:14">
      <c r="A157" s="541" t="s">
        <v>1985</v>
      </c>
      <c r="B157" s="541" t="s">
        <v>1286</v>
      </c>
      <c r="C157" s="662"/>
      <c r="D157" s="606"/>
      <c r="G157">
        <v>120115014</v>
      </c>
      <c r="H157" t="s">
        <v>2220</v>
      </c>
      <c r="M157" s="677">
        <v>-441994349</v>
      </c>
    </row>
    <row r="158" spans="1:14">
      <c r="A158" s="541" t="s">
        <v>1986</v>
      </c>
      <c r="B158" s="541" t="s">
        <v>1287</v>
      </c>
      <c r="C158" s="662">
        <v>311765700</v>
      </c>
      <c r="D158" s="606">
        <f>+C158</f>
        <v>311765700</v>
      </c>
      <c r="G158">
        <v>120115015</v>
      </c>
      <c r="H158" t="s">
        <v>2221</v>
      </c>
      <c r="M158" s="677">
        <v>8349996726</v>
      </c>
    </row>
    <row r="159" spans="1:14">
      <c r="A159" s="541" t="s">
        <v>1987</v>
      </c>
      <c r="B159" s="541" t="s">
        <v>1288</v>
      </c>
      <c r="C159" s="661">
        <v>-203200373</v>
      </c>
      <c r="D159" s="606">
        <f t="shared" ref="D159:D162" si="7">+C159</f>
        <v>-203200373</v>
      </c>
      <c r="G159">
        <v>120117</v>
      </c>
      <c r="H159" t="s">
        <v>2222</v>
      </c>
      <c r="N159" s="677">
        <v>11439306</v>
      </c>
    </row>
    <row r="160" spans="1:14">
      <c r="A160" s="541" t="s">
        <v>1988</v>
      </c>
      <c r="B160" s="541" t="s">
        <v>1755</v>
      </c>
      <c r="C160" s="662">
        <v>1802900347</v>
      </c>
      <c r="D160" s="606">
        <f t="shared" si="7"/>
        <v>1802900347</v>
      </c>
      <c r="G160">
        <v>120117001</v>
      </c>
      <c r="H160" t="s">
        <v>2223</v>
      </c>
      <c r="M160" s="677">
        <v>214933425</v>
      </c>
    </row>
    <row r="161" spans="1:18">
      <c r="A161" s="541" t="s">
        <v>1989</v>
      </c>
      <c r="B161" s="541" t="s">
        <v>1289</v>
      </c>
      <c r="C161" s="662">
        <v>-441994349</v>
      </c>
      <c r="D161" s="606">
        <f t="shared" si="7"/>
        <v>-441994349</v>
      </c>
      <c r="G161">
        <v>120117002</v>
      </c>
      <c r="H161" t="s">
        <v>2224</v>
      </c>
      <c r="M161" s="677">
        <v>-203494119</v>
      </c>
    </row>
    <row r="162" spans="1:18">
      <c r="A162" s="541" t="s">
        <v>1990</v>
      </c>
      <c r="B162" s="541" t="s">
        <v>1836</v>
      </c>
      <c r="C162" s="662">
        <v>8349996726</v>
      </c>
      <c r="D162" s="606">
        <f t="shared" si="7"/>
        <v>8349996726</v>
      </c>
      <c r="G162">
        <v>120119</v>
      </c>
      <c r="H162" t="s">
        <v>2225</v>
      </c>
      <c r="N162" s="677">
        <v>2113758527</v>
      </c>
    </row>
    <row r="163" spans="1:18">
      <c r="A163" s="541" t="s">
        <v>1985</v>
      </c>
      <c r="B163" s="541" t="s">
        <v>1286</v>
      </c>
      <c r="C163" s="662">
        <f>SUM(C158:C162)</f>
        <v>9819468051</v>
      </c>
      <c r="D163" s="662">
        <f>SUM(D158:D162)</f>
        <v>9819468051</v>
      </c>
      <c r="G163">
        <v>120119001</v>
      </c>
      <c r="H163" t="s">
        <v>2226</v>
      </c>
      <c r="M163" s="677">
        <v>2113758527</v>
      </c>
    </row>
    <row r="164" spans="1:18">
      <c r="A164" s="541" t="s">
        <v>1991</v>
      </c>
      <c r="B164" s="541" t="s">
        <v>1290</v>
      </c>
      <c r="C164" s="662"/>
      <c r="D164" s="606"/>
      <c r="G164">
        <v>120120</v>
      </c>
      <c r="H164" t="s">
        <v>2227</v>
      </c>
      <c r="N164" s="677">
        <v>3758097600</v>
      </c>
    </row>
    <row r="165" spans="1:18">
      <c r="A165" s="541" t="s">
        <v>1992</v>
      </c>
      <c r="B165" s="541" t="s">
        <v>1291</v>
      </c>
      <c r="C165" s="662">
        <v>214933425</v>
      </c>
      <c r="D165" s="606">
        <f>+C165</f>
        <v>214933425</v>
      </c>
      <c r="G165">
        <v>120120001</v>
      </c>
      <c r="H165" t="s">
        <v>2228</v>
      </c>
      <c r="M165" s="677">
        <v>3876175511</v>
      </c>
    </row>
    <row r="166" spans="1:18">
      <c r="A166" s="541" t="s">
        <v>1993</v>
      </c>
      <c r="B166" s="541" t="s">
        <v>1292</v>
      </c>
      <c r="C166" s="661">
        <v>-203494119</v>
      </c>
      <c r="D166" s="606">
        <f>+C166</f>
        <v>-203494119</v>
      </c>
      <c r="G166">
        <v>120120002</v>
      </c>
      <c r="H166" t="s">
        <v>2229</v>
      </c>
      <c r="M166" s="677">
        <v>-118077911</v>
      </c>
    </row>
    <row r="167" spans="1:18">
      <c r="A167" s="541" t="s">
        <v>1991</v>
      </c>
      <c r="B167" s="541" t="s">
        <v>1290</v>
      </c>
      <c r="C167" s="662">
        <f>SUM(C165:C166)</f>
        <v>11439306</v>
      </c>
      <c r="D167" s="662">
        <f>SUM(D165:D166)</f>
        <v>11439306</v>
      </c>
      <c r="G167">
        <v>1211</v>
      </c>
      <c r="H167" t="s">
        <v>2230</v>
      </c>
      <c r="O167" s="677">
        <v>129202316</v>
      </c>
    </row>
    <row r="168" spans="1:18">
      <c r="A168" s="541" t="s">
        <v>1994</v>
      </c>
      <c r="B168" s="541" t="s">
        <v>1293</v>
      </c>
      <c r="C168" s="662"/>
      <c r="D168" s="606"/>
      <c r="G168">
        <v>121111001</v>
      </c>
      <c r="H168" t="s">
        <v>2231</v>
      </c>
      <c r="M168" s="677">
        <v>710410591</v>
      </c>
      <c r="R168">
        <v>41654329046</v>
      </c>
    </row>
    <row r="169" spans="1:18">
      <c r="A169" s="541" t="s">
        <v>1995</v>
      </c>
      <c r="B169" s="541" t="s">
        <v>1294</v>
      </c>
      <c r="C169" s="662">
        <v>2113758527</v>
      </c>
      <c r="D169" s="606">
        <v>2113758527</v>
      </c>
      <c r="G169">
        <v>121111002</v>
      </c>
      <c r="H169" t="s">
        <v>2232</v>
      </c>
      <c r="M169" s="677">
        <v>-710410591</v>
      </c>
    </row>
    <row r="170" spans="1:18">
      <c r="A170" s="541" t="s">
        <v>1994</v>
      </c>
      <c r="B170" s="541" t="s">
        <v>1293</v>
      </c>
      <c r="C170" s="661">
        <f>+C169</f>
        <v>2113758527</v>
      </c>
      <c r="D170" s="661">
        <f>+D169</f>
        <v>2113758527</v>
      </c>
      <c r="G170">
        <v>121112</v>
      </c>
      <c r="H170" t="s">
        <v>2233</v>
      </c>
      <c r="N170" s="677">
        <v>57018386</v>
      </c>
      <c r="Q170">
        <v>21788003511</v>
      </c>
    </row>
    <row r="171" spans="1:18">
      <c r="A171" s="541" t="s">
        <v>1996</v>
      </c>
      <c r="B171" s="541" t="s">
        <v>1295</v>
      </c>
      <c r="C171" s="662">
        <v>3876175511</v>
      </c>
      <c r="D171" s="606">
        <f>+C171</f>
        <v>3876175511</v>
      </c>
      <c r="G171">
        <v>121112001</v>
      </c>
      <c r="H171" t="s">
        <v>2234</v>
      </c>
      <c r="M171" s="677">
        <v>25648145</v>
      </c>
    </row>
    <row r="172" spans="1:18">
      <c r="A172" s="541" t="s">
        <v>1997</v>
      </c>
      <c r="B172" s="541" t="s">
        <v>1296</v>
      </c>
      <c r="C172" s="662">
        <v>-118077911</v>
      </c>
      <c r="D172" s="606">
        <f>+C172</f>
        <v>-118077911</v>
      </c>
      <c r="G172">
        <v>121112002</v>
      </c>
      <c r="H172" t="s">
        <v>2235</v>
      </c>
      <c r="M172" s="677">
        <v>-25648145</v>
      </c>
    </row>
    <row r="173" spans="1:18">
      <c r="A173" s="541" t="s">
        <v>1998</v>
      </c>
      <c r="B173" s="541" t="s">
        <v>1837</v>
      </c>
      <c r="C173" s="662">
        <f>SUM(C171:C172)</f>
        <v>3758097600</v>
      </c>
      <c r="D173" s="662">
        <f>SUM(D171:D172)</f>
        <v>3758097600</v>
      </c>
      <c r="G173">
        <v>121112003</v>
      </c>
      <c r="H173" t="s">
        <v>2236</v>
      </c>
      <c r="M173" s="677">
        <v>166435338</v>
      </c>
    </row>
    <row r="174" spans="1:18">
      <c r="A174" s="541" t="s">
        <v>1274</v>
      </c>
      <c r="B174" s="541" t="s">
        <v>1275</v>
      </c>
      <c r="C174" s="653">
        <f>+C173+C170+C167+C163+C156+C152+C148+C144</f>
        <v>16673084933</v>
      </c>
      <c r="D174" s="653">
        <f>+D173+D170+D167+D163+D156+D152+D148+D144</f>
        <v>16673084933</v>
      </c>
      <c r="G174">
        <v>121112004</v>
      </c>
      <c r="H174" t="s">
        <v>2237</v>
      </c>
      <c r="M174" s="677">
        <v>-109416955</v>
      </c>
    </row>
    <row r="175" spans="1:18">
      <c r="A175" s="541" t="s">
        <v>1297</v>
      </c>
      <c r="B175" s="541" t="s">
        <v>1298</v>
      </c>
      <c r="C175" s="662"/>
      <c r="D175" s="606"/>
      <c r="G175">
        <v>121112011</v>
      </c>
      <c r="H175" t="s">
        <v>2238</v>
      </c>
      <c r="M175" s="677">
        <v>33454548</v>
      </c>
    </row>
    <row r="176" spans="1:18">
      <c r="A176" s="541" t="s">
        <v>1299</v>
      </c>
      <c r="B176" s="541" t="s">
        <v>1300</v>
      </c>
      <c r="C176" s="662"/>
      <c r="D176" s="606"/>
      <c r="G176">
        <v>121112012</v>
      </c>
      <c r="H176" t="s">
        <v>2239</v>
      </c>
      <c r="M176" s="677">
        <v>-33454545</v>
      </c>
    </row>
    <row r="177" spans="1:14">
      <c r="A177" s="541" t="s">
        <v>1301</v>
      </c>
      <c r="B177" s="541" t="s">
        <v>1302</v>
      </c>
      <c r="C177" s="661">
        <v>710410591</v>
      </c>
      <c r="D177" s="605">
        <v>710410591</v>
      </c>
      <c r="G177">
        <v>121113</v>
      </c>
      <c r="H177" t="s">
        <v>2240</v>
      </c>
      <c r="N177" s="677">
        <v>72183930</v>
      </c>
    </row>
    <row r="178" spans="1:14">
      <c r="A178" s="541" t="s">
        <v>1303</v>
      </c>
      <c r="B178" s="541" t="s">
        <v>1304</v>
      </c>
      <c r="C178" s="661">
        <v>-710410591</v>
      </c>
      <c r="D178" s="605">
        <v>-710410591</v>
      </c>
      <c r="G178">
        <v>121113003</v>
      </c>
      <c r="H178" t="s">
        <v>2241</v>
      </c>
      <c r="M178" s="677">
        <v>72183930</v>
      </c>
    </row>
    <row r="179" spans="1:14">
      <c r="A179" s="541" t="s">
        <v>1299</v>
      </c>
      <c r="B179" s="541" t="s">
        <v>1300</v>
      </c>
      <c r="C179" s="662">
        <v>0</v>
      </c>
      <c r="D179" s="606">
        <v>0</v>
      </c>
      <c r="G179" t="s">
        <v>2242</v>
      </c>
    </row>
    <row r="180" spans="1:14">
      <c r="A180" s="541" t="s">
        <v>1305</v>
      </c>
      <c r="B180" s="541" t="s">
        <v>1306</v>
      </c>
      <c r="C180" s="662"/>
      <c r="D180" s="606"/>
    </row>
    <row r="181" spans="1:14">
      <c r="A181" s="541" t="s">
        <v>1999</v>
      </c>
      <c r="B181" s="541" t="s">
        <v>972</v>
      </c>
      <c r="C181" s="653">
        <v>25648145</v>
      </c>
      <c r="D181" s="606">
        <f>+C181</f>
        <v>25648145</v>
      </c>
    </row>
    <row r="182" spans="1:14">
      <c r="A182" s="597" t="s">
        <v>2000</v>
      </c>
      <c r="B182" s="541" t="s">
        <v>973</v>
      </c>
      <c r="C182" s="663">
        <v>-25648145</v>
      </c>
      <c r="D182" s="606">
        <f t="shared" ref="D182:D186" si="8">+C182</f>
        <v>-25648145</v>
      </c>
    </row>
    <row r="183" spans="1:14">
      <c r="A183" s="597" t="s">
        <v>2001</v>
      </c>
      <c r="B183" s="541" t="s">
        <v>974</v>
      </c>
      <c r="C183" s="653">
        <v>166435338</v>
      </c>
      <c r="D183" s="606">
        <f t="shared" si="8"/>
        <v>166435338</v>
      </c>
    </row>
    <row r="184" spans="1:14">
      <c r="A184" s="597" t="s">
        <v>2002</v>
      </c>
      <c r="B184" s="541" t="s">
        <v>975</v>
      </c>
      <c r="C184" s="653">
        <v>-109416955</v>
      </c>
      <c r="D184" s="606">
        <f t="shared" si="8"/>
        <v>-109416955</v>
      </c>
    </row>
    <row r="185" spans="1:14">
      <c r="A185" s="597" t="s">
        <v>2003</v>
      </c>
      <c r="B185" s="541" t="s">
        <v>976</v>
      </c>
      <c r="C185" s="653">
        <v>33454548</v>
      </c>
      <c r="D185" s="606">
        <f t="shared" si="8"/>
        <v>33454548</v>
      </c>
    </row>
    <row r="186" spans="1:14">
      <c r="A186" s="597" t="s">
        <v>2004</v>
      </c>
      <c r="B186" s="541" t="s">
        <v>977</v>
      </c>
      <c r="C186" s="653">
        <v>-33454545</v>
      </c>
      <c r="D186" s="606">
        <f t="shared" si="8"/>
        <v>-33454545</v>
      </c>
    </row>
    <row r="187" spans="1:14">
      <c r="A187" s="597" t="s">
        <v>1305</v>
      </c>
      <c r="B187" s="541" t="s">
        <v>1306</v>
      </c>
      <c r="C187" s="662">
        <f>SUM(C181:C186)</f>
        <v>57018386</v>
      </c>
      <c r="D187" s="662">
        <f>SUM(D181:D186)</f>
        <v>57018386</v>
      </c>
    </row>
    <row r="188" spans="1:14">
      <c r="A188" s="541" t="s">
        <v>1307</v>
      </c>
      <c r="B188" s="541" t="s">
        <v>1308</v>
      </c>
      <c r="C188" s="650"/>
      <c r="D188" s="589"/>
    </row>
    <row r="189" spans="1:14">
      <c r="A189" s="541" t="s">
        <v>2005</v>
      </c>
      <c r="B189" s="541" t="s">
        <v>978</v>
      </c>
      <c r="C189" s="654">
        <v>54770210</v>
      </c>
      <c r="D189" s="589">
        <f>+C189</f>
        <v>54770210</v>
      </c>
    </row>
    <row r="190" spans="1:14">
      <c r="A190" s="597" t="s">
        <v>2006</v>
      </c>
      <c r="B190" s="597" t="s">
        <v>1366</v>
      </c>
      <c r="C190" s="658"/>
      <c r="D190" s="589">
        <f t="shared" ref="D190:D191" si="9">+C190</f>
        <v>0</v>
      </c>
    </row>
    <row r="191" spans="1:14">
      <c r="A191" s="597" t="s">
        <v>2007</v>
      </c>
      <c r="B191" s="597" t="s">
        <v>1833</v>
      </c>
      <c r="C191" s="654"/>
      <c r="D191" s="589">
        <f t="shared" si="9"/>
        <v>0</v>
      </c>
    </row>
    <row r="192" spans="1:14">
      <c r="A192" s="597" t="s">
        <v>1307</v>
      </c>
      <c r="B192" s="597" t="s">
        <v>1308</v>
      </c>
      <c r="C192" s="655">
        <f>SUM(C189:C191)</f>
        <v>54770210</v>
      </c>
      <c r="D192" s="598">
        <f>SUM(D189:D191)</f>
        <v>54770210</v>
      </c>
    </row>
    <row r="193" spans="1:15">
      <c r="A193" s="541" t="s">
        <v>1297</v>
      </c>
      <c r="B193" s="541" t="s">
        <v>1298</v>
      </c>
      <c r="C193" s="650">
        <f>+C192+C187+C179</f>
        <v>111788596</v>
      </c>
      <c r="D193" s="650">
        <f>+D192+D187+D179</f>
        <v>111788596</v>
      </c>
    </row>
    <row r="194" spans="1:15">
      <c r="A194" s="541" t="s">
        <v>1272</v>
      </c>
      <c r="B194" s="541" t="s">
        <v>1273</v>
      </c>
      <c r="C194" s="650">
        <f>+C174+C179+C187+C192</f>
        <v>16784873529</v>
      </c>
      <c r="D194" s="650">
        <f>+D174+D179+D187+D192</f>
        <v>16784873529</v>
      </c>
      <c r="E194" s="523">
        <f>+C195-'Calc.Aux.'!F10-'Calc.Aux.'!F17-'Calc.Aux.'!F71-'Calc.Aux.'!F82-'Calc.Aux.'!F96-'Calc.Aux.'!F130-'Calc.Aux.'!F137</f>
        <v>2458378026.75</v>
      </c>
      <c r="G194" t="s">
        <v>1310</v>
      </c>
    </row>
    <row r="195" spans="1:15">
      <c r="A195" s="541" t="s">
        <v>1174</v>
      </c>
      <c r="B195" s="541" t="s">
        <v>484</v>
      </c>
      <c r="C195" s="650">
        <f>+C194+C138</f>
        <v>42736915326</v>
      </c>
      <c r="D195" s="650">
        <f>+D194+D138</f>
        <v>42736915326</v>
      </c>
      <c r="E195" s="636">
        <f>+BG!F29-C195</f>
        <v>0.25</v>
      </c>
      <c r="G195">
        <v>21</v>
      </c>
      <c r="H195" t="s">
        <v>2243</v>
      </c>
    </row>
    <row r="196" spans="1:15">
      <c r="A196" s="541" t="s">
        <v>1309</v>
      </c>
      <c r="B196" s="541" t="s">
        <v>1310</v>
      </c>
      <c r="C196" s="650"/>
      <c r="D196" s="589"/>
      <c r="G196">
        <v>2101</v>
      </c>
      <c r="H196" t="s">
        <v>2244</v>
      </c>
      <c r="O196" s="677">
        <v>18429465442</v>
      </c>
    </row>
    <row r="197" spans="1:15">
      <c r="A197" s="541" t="s">
        <v>1311</v>
      </c>
      <c r="B197" s="541" t="s">
        <v>487</v>
      </c>
      <c r="C197" s="650"/>
      <c r="D197" s="589"/>
      <c r="G197">
        <v>210101</v>
      </c>
      <c r="H197" t="s">
        <v>2245</v>
      </c>
      <c r="N197" s="677">
        <v>6842102413</v>
      </c>
    </row>
    <row r="198" spans="1:15">
      <c r="A198" s="541" t="s">
        <v>1312</v>
      </c>
      <c r="B198" s="541" t="s">
        <v>1313</v>
      </c>
      <c r="G198">
        <v>210101001</v>
      </c>
      <c r="H198" t="s">
        <v>2246</v>
      </c>
      <c r="M198" s="677">
        <v>5860000</v>
      </c>
    </row>
    <row r="199" spans="1:15">
      <c r="A199" s="541" t="s">
        <v>1314</v>
      </c>
      <c r="B199" s="541" t="s">
        <v>1315</v>
      </c>
      <c r="G199">
        <v>210101002</v>
      </c>
      <c r="H199" t="s">
        <v>2247</v>
      </c>
      <c r="M199" s="677">
        <v>46633910</v>
      </c>
    </row>
    <row r="200" spans="1:15">
      <c r="A200" s="541" t="s">
        <v>1316</v>
      </c>
      <c r="B200" s="541" t="s">
        <v>1317</v>
      </c>
      <c r="C200" s="664">
        <v>5860000</v>
      </c>
      <c r="D200" s="596">
        <f>+C200</f>
        <v>5860000</v>
      </c>
      <c r="G200">
        <v>210101011</v>
      </c>
      <c r="H200" t="s">
        <v>2248</v>
      </c>
      <c r="M200" s="677">
        <v>1776231772</v>
      </c>
    </row>
    <row r="201" spans="1:15">
      <c r="A201" s="541">
        <v>210101002</v>
      </c>
      <c r="B201" s="541" t="s">
        <v>1319</v>
      </c>
      <c r="C201" s="665">
        <v>46633910</v>
      </c>
      <c r="D201" s="596">
        <f t="shared" ref="D201:D211" si="10">+C201</f>
        <v>46633910</v>
      </c>
      <c r="G201">
        <v>210101031</v>
      </c>
      <c r="H201" t="s">
        <v>2249</v>
      </c>
      <c r="M201" s="677">
        <v>17229850</v>
      </c>
    </row>
    <row r="202" spans="1:15">
      <c r="A202" s="541" t="s">
        <v>1320</v>
      </c>
      <c r="B202" s="541" t="s">
        <v>1321</v>
      </c>
      <c r="C202" s="665">
        <v>1776231772</v>
      </c>
      <c r="D202" s="596">
        <f t="shared" si="10"/>
        <v>1776231772</v>
      </c>
      <c r="G202">
        <v>210101041</v>
      </c>
      <c r="H202" t="s">
        <v>2250</v>
      </c>
      <c r="M202" s="677">
        <v>419532797</v>
      </c>
    </row>
    <row r="203" spans="1:15">
      <c r="A203" s="541" t="s">
        <v>1756</v>
      </c>
      <c r="B203" s="541" t="s">
        <v>1757</v>
      </c>
      <c r="C203" s="666">
        <v>17229850</v>
      </c>
      <c r="D203" s="596">
        <f t="shared" si="10"/>
        <v>17229850</v>
      </c>
      <c r="G203">
        <v>210101042</v>
      </c>
      <c r="H203" t="s">
        <v>2251</v>
      </c>
      <c r="M203" s="677">
        <v>195925556</v>
      </c>
    </row>
    <row r="204" spans="1:15">
      <c r="A204" s="541" t="s">
        <v>1758</v>
      </c>
      <c r="B204" s="541" t="s">
        <v>1759</v>
      </c>
      <c r="C204" s="666">
        <v>419532797</v>
      </c>
      <c r="D204" s="596">
        <f t="shared" si="10"/>
        <v>419532797</v>
      </c>
      <c r="G204">
        <v>210101090</v>
      </c>
      <c r="H204" t="s">
        <v>2252</v>
      </c>
      <c r="M204" s="677">
        <v>92936648</v>
      </c>
    </row>
    <row r="205" spans="1:15">
      <c r="A205" s="541" t="s">
        <v>1760</v>
      </c>
      <c r="B205" s="541" t="s">
        <v>1761</v>
      </c>
      <c r="C205" s="667">
        <v>195925556</v>
      </c>
      <c r="D205" s="596">
        <f t="shared" si="10"/>
        <v>195925556</v>
      </c>
      <c r="G205">
        <v>210101091</v>
      </c>
      <c r="H205" t="s">
        <v>2253</v>
      </c>
      <c r="M205" s="677">
        <v>90030957</v>
      </c>
    </row>
    <row r="206" spans="1:15">
      <c r="A206" s="541" t="s">
        <v>1322</v>
      </c>
      <c r="B206" s="541" t="s">
        <v>1323</v>
      </c>
      <c r="C206" s="667">
        <v>92936648</v>
      </c>
      <c r="D206" s="596">
        <f t="shared" si="10"/>
        <v>92936648</v>
      </c>
      <c r="G206">
        <v>210101100</v>
      </c>
      <c r="H206" t="s">
        <v>2254</v>
      </c>
      <c r="M206" s="677">
        <v>71904652</v>
      </c>
    </row>
    <row r="207" spans="1:15">
      <c r="A207" s="541" t="s">
        <v>1324</v>
      </c>
      <c r="B207" s="541" t="s">
        <v>1325</v>
      </c>
      <c r="C207" s="666">
        <v>90030957</v>
      </c>
      <c r="D207" s="596">
        <f t="shared" si="10"/>
        <v>90030957</v>
      </c>
      <c r="G207">
        <v>210101101</v>
      </c>
      <c r="H207" t="s">
        <v>2255</v>
      </c>
      <c r="M207" s="677">
        <v>121234882</v>
      </c>
    </row>
    <row r="208" spans="1:15">
      <c r="A208" s="541" t="s">
        <v>1838</v>
      </c>
      <c r="B208" s="541" t="s">
        <v>996</v>
      </c>
      <c r="C208" s="668">
        <v>71904652</v>
      </c>
      <c r="D208" s="596">
        <f t="shared" si="10"/>
        <v>71904652</v>
      </c>
      <c r="G208">
        <v>210101102</v>
      </c>
      <c r="H208" t="s">
        <v>2256</v>
      </c>
      <c r="M208" s="677">
        <v>754325236</v>
      </c>
    </row>
    <row r="209" spans="1:16">
      <c r="A209" s="541" t="s">
        <v>1839</v>
      </c>
      <c r="B209" s="541" t="s">
        <v>997</v>
      </c>
      <c r="C209" s="668">
        <v>121234882</v>
      </c>
      <c r="D209" s="596">
        <f t="shared" si="10"/>
        <v>121234882</v>
      </c>
      <c r="G209">
        <v>210101191</v>
      </c>
      <c r="H209" t="s">
        <v>2257</v>
      </c>
      <c r="M209" s="677">
        <v>3250256153</v>
      </c>
    </row>
    <row r="210" spans="1:16">
      <c r="A210" s="541" t="s">
        <v>1840</v>
      </c>
      <c r="B210" s="541" t="s">
        <v>1841</v>
      </c>
      <c r="C210" s="668">
        <v>754325236</v>
      </c>
      <c r="D210" s="596">
        <f t="shared" si="10"/>
        <v>754325236</v>
      </c>
      <c r="G210">
        <v>210111</v>
      </c>
      <c r="H210" t="s">
        <v>2258</v>
      </c>
      <c r="N210" s="677">
        <v>168069661</v>
      </c>
    </row>
    <row r="211" spans="1:16">
      <c r="A211" s="541" t="s">
        <v>1326</v>
      </c>
      <c r="B211" s="541" t="s">
        <v>1327</v>
      </c>
      <c r="C211" s="669">
        <v>3250256153</v>
      </c>
      <c r="D211" s="596">
        <f t="shared" si="10"/>
        <v>3250256153</v>
      </c>
      <c r="G211">
        <v>210111001</v>
      </c>
      <c r="H211" t="s">
        <v>2259</v>
      </c>
      <c r="M211" s="677">
        <v>59202877</v>
      </c>
    </row>
    <row r="212" spans="1:16">
      <c r="A212" s="541" t="s">
        <v>1314</v>
      </c>
      <c r="B212" s="541" t="s">
        <v>1315</v>
      </c>
      <c r="C212" s="662">
        <f>SUM(C200:C211)</f>
        <v>6842102413</v>
      </c>
      <c r="D212" s="662">
        <f>SUM(D200:D211)</f>
        <v>6842102413</v>
      </c>
      <c r="G212">
        <v>210111011</v>
      </c>
      <c r="H212" t="s">
        <v>2260</v>
      </c>
      <c r="M212" s="677">
        <v>45269312</v>
      </c>
    </row>
    <row r="213" spans="1:16">
      <c r="A213" s="541" t="s">
        <v>1328</v>
      </c>
      <c r="B213" s="541" t="s">
        <v>1329</v>
      </c>
      <c r="C213" s="662"/>
      <c r="D213" s="606"/>
      <c r="G213">
        <v>210111031</v>
      </c>
      <c r="H213" t="s">
        <v>2261</v>
      </c>
      <c r="M213" s="677">
        <v>63597472</v>
      </c>
    </row>
    <row r="214" spans="1:16">
      <c r="A214" s="541" t="s">
        <v>1330</v>
      </c>
      <c r="B214" s="541" t="s">
        <v>896</v>
      </c>
      <c r="C214" s="669">
        <v>45269312</v>
      </c>
      <c r="D214" s="606">
        <f>+C214</f>
        <v>45269312</v>
      </c>
      <c r="G214">
        <v>210121</v>
      </c>
      <c r="H214" t="s">
        <v>2262</v>
      </c>
      <c r="N214" s="677">
        <v>6988762</v>
      </c>
    </row>
    <row r="215" spans="1:16">
      <c r="A215" s="541" t="s">
        <v>1331</v>
      </c>
      <c r="B215" s="541" t="s">
        <v>1332</v>
      </c>
      <c r="C215" s="669">
        <v>63597472</v>
      </c>
      <c r="D215" s="606">
        <f t="shared" ref="D215:D216" si="11">+C215</f>
        <v>63597472</v>
      </c>
      <c r="G215">
        <v>210121001</v>
      </c>
      <c r="H215" t="s">
        <v>2263</v>
      </c>
      <c r="M215" s="677">
        <v>-3902838</v>
      </c>
    </row>
    <row r="216" spans="1:16">
      <c r="A216" s="541" t="s">
        <v>1333</v>
      </c>
      <c r="B216" s="541" t="s">
        <v>1334</v>
      </c>
      <c r="C216" s="656">
        <v>59202877</v>
      </c>
      <c r="D216" s="606">
        <f t="shared" si="11"/>
        <v>59202877</v>
      </c>
      <c r="G216">
        <v>210121009</v>
      </c>
      <c r="H216" t="s">
        <v>2264</v>
      </c>
      <c r="M216" s="677">
        <v>2064735</v>
      </c>
      <c r="N216" s="677">
        <f>SUM(M216:M217)</f>
        <v>6278685</v>
      </c>
      <c r="O216" s="678">
        <f>+M216/N216</f>
        <v>0.32884831776080503</v>
      </c>
      <c r="P216">
        <f>+M215*O216</f>
        <v>-1283441.7107929448</v>
      </c>
    </row>
    <row r="217" spans="1:16">
      <c r="A217" s="541" t="s">
        <v>1328</v>
      </c>
      <c r="B217" s="541" t="s">
        <v>1329</v>
      </c>
      <c r="C217" s="661">
        <f>SUM(C214:C216)</f>
        <v>168069661</v>
      </c>
      <c r="D217" s="661">
        <f>SUM(D214:D216)</f>
        <v>168069661</v>
      </c>
      <c r="G217">
        <v>210121031</v>
      </c>
      <c r="H217" t="s">
        <v>2265</v>
      </c>
      <c r="M217" s="677">
        <v>4213950</v>
      </c>
      <c r="O217" s="678">
        <f>+M217/N216</f>
        <v>0.67115168223919497</v>
      </c>
      <c r="P217">
        <f>+M215*O217</f>
        <v>-2619396.2892070552</v>
      </c>
    </row>
    <row r="218" spans="1:16">
      <c r="A218" s="541" t="s">
        <v>1335</v>
      </c>
      <c r="B218" s="541" t="s">
        <v>1336</v>
      </c>
      <c r="C218" s="662"/>
      <c r="D218" s="606"/>
      <c r="G218">
        <v>210121041</v>
      </c>
      <c r="H218" t="s">
        <v>2266</v>
      </c>
      <c r="M218" s="677">
        <v>4612915</v>
      </c>
    </row>
    <row r="219" spans="1:16">
      <c r="A219" s="541" t="s">
        <v>2008</v>
      </c>
      <c r="B219" s="541" t="s">
        <v>993</v>
      </c>
      <c r="C219" s="656">
        <v>781293.28920705523</v>
      </c>
      <c r="D219" s="606">
        <f>+C219</f>
        <v>781293.28920705523</v>
      </c>
    </row>
    <row r="220" spans="1:16">
      <c r="A220" s="541" t="s">
        <v>2009</v>
      </c>
      <c r="B220" s="541" t="s">
        <v>994</v>
      </c>
      <c r="C220" s="656">
        <v>1594553.7107929448</v>
      </c>
      <c r="D220" s="606">
        <f t="shared" ref="D220:D221" si="12">+C220</f>
        <v>1594553.7107929448</v>
      </c>
      <c r="N220" s="677">
        <f>+M216+P216</f>
        <v>781293.28920705523</v>
      </c>
    </row>
    <row r="221" spans="1:16">
      <c r="A221" s="541" t="s">
        <v>2010</v>
      </c>
      <c r="B221" s="541" t="s">
        <v>1764</v>
      </c>
      <c r="C221" s="656">
        <v>4612915</v>
      </c>
      <c r="D221" s="606">
        <f t="shared" si="12"/>
        <v>4612915</v>
      </c>
      <c r="N221" s="677">
        <f>+M217+P217</f>
        <v>1594553.7107929448</v>
      </c>
    </row>
    <row r="222" spans="1:16">
      <c r="A222" s="541" t="s">
        <v>1335</v>
      </c>
      <c r="B222" s="541" t="s">
        <v>1336</v>
      </c>
      <c r="C222" s="661">
        <f>SUM(C219:C221)</f>
        <v>6988762</v>
      </c>
      <c r="D222" s="605">
        <f>SUM(D219:D221)</f>
        <v>6988762</v>
      </c>
    </row>
    <row r="223" spans="1:16">
      <c r="A223" s="541" t="s">
        <v>1312</v>
      </c>
      <c r="B223" s="541" t="s">
        <v>1313</v>
      </c>
      <c r="C223" s="662">
        <f>+C222+C217+C212</f>
        <v>7017160836</v>
      </c>
      <c r="D223" s="662">
        <f>+D222+D217+D212</f>
        <v>7017160836</v>
      </c>
    </row>
    <row r="224" spans="1:16">
      <c r="A224" s="541" t="s">
        <v>1337</v>
      </c>
      <c r="B224" s="541" t="s">
        <v>1338</v>
      </c>
      <c r="C224" s="662"/>
      <c r="D224" s="606"/>
    </row>
    <row r="225" spans="1:18">
      <c r="A225" s="541">
        <v>211101101</v>
      </c>
      <c r="B225" s="541" t="s">
        <v>1719</v>
      </c>
      <c r="C225" s="656">
        <v>624782586</v>
      </c>
      <c r="D225" s="606">
        <f>+C225</f>
        <v>624782586</v>
      </c>
      <c r="G225">
        <v>211101</v>
      </c>
      <c r="H225" t="s">
        <v>2267</v>
      </c>
      <c r="N225" s="677">
        <v>11412304606</v>
      </c>
    </row>
    <row r="226" spans="1:18">
      <c r="A226" s="541">
        <v>211101102</v>
      </c>
      <c r="B226" s="541" t="s">
        <v>1842</v>
      </c>
      <c r="C226" s="656">
        <v>107142854</v>
      </c>
      <c r="D226" s="606">
        <f t="shared" ref="D226:D237" si="13">+C226</f>
        <v>107142854</v>
      </c>
      <c r="G226">
        <v>211101101</v>
      </c>
      <c r="H226" t="s">
        <v>2268</v>
      </c>
      <c r="M226" s="677">
        <v>624782586</v>
      </c>
    </row>
    <row r="227" spans="1:18">
      <c r="A227" s="541">
        <v>211101103</v>
      </c>
      <c r="B227" s="541" t="s">
        <v>980</v>
      </c>
      <c r="C227" s="656">
        <v>124999997</v>
      </c>
      <c r="D227" s="606">
        <f t="shared" si="13"/>
        <v>124999997</v>
      </c>
      <c r="G227">
        <v>211101102</v>
      </c>
      <c r="H227" t="s">
        <v>2269</v>
      </c>
      <c r="M227" s="677">
        <v>107142854</v>
      </c>
    </row>
    <row r="228" spans="1:18">
      <c r="A228" s="541">
        <v>211101104</v>
      </c>
      <c r="B228" s="541" t="s">
        <v>981</v>
      </c>
      <c r="C228" s="670">
        <v>174999993</v>
      </c>
      <c r="D228" s="606">
        <f t="shared" si="13"/>
        <v>174999993</v>
      </c>
      <c r="G228">
        <v>211101103</v>
      </c>
      <c r="H228" t="s">
        <v>2270</v>
      </c>
      <c r="M228" s="677">
        <v>124999997</v>
      </c>
    </row>
    <row r="229" spans="1:18">
      <c r="A229" s="541">
        <v>211101108</v>
      </c>
      <c r="B229" s="541" t="s">
        <v>2011</v>
      </c>
      <c r="C229" s="656">
        <v>3000000000</v>
      </c>
      <c r="D229" s="606">
        <f t="shared" si="13"/>
        <v>3000000000</v>
      </c>
      <c r="G229">
        <v>211101104</v>
      </c>
      <c r="H229" t="s">
        <v>2271</v>
      </c>
      <c r="M229" s="677">
        <v>174999993</v>
      </c>
    </row>
    <row r="230" spans="1:18">
      <c r="A230" s="541">
        <v>211101201</v>
      </c>
      <c r="B230" s="541" t="s">
        <v>984</v>
      </c>
      <c r="C230" s="656">
        <v>64166691</v>
      </c>
      <c r="D230" s="606">
        <f t="shared" si="13"/>
        <v>64166691</v>
      </c>
      <c r="G230">
        <v>211101108</v>
      </c>
      <c r="H230" t="s">
        <v>2272</v>
      </c>
      <c r="M230" s="677">
        <v>3000000000</v>
      </c>
    </row>
    <row r="231" spans="1:18">
      <c r="A231" s="541">
        <v>211101202</v>
      </c>
      <c r="B231" s="541" t="s">
        <v>1004</v>
      </c>
      <c r="C231" s="668">
        <v>641124213</v>
      </c>
      <c r="D231" s="606">
        <f t="shared" si="13"/>
        <v>641124213</v>
      </c>
      <c r="G231">
        <v>211101201</v>
      </c>
      <c r="H231" t="s">
        <v>2273</v>
      </c>
      <c r="M231" s="677">
        <v>64166691</v>
      </c>
    </row>
    <row r="232" spans="1:18">
      <c r="A232" s="541">
        <v>211101206</v>
      </c>
      <c r="B232" s="541" t="s">
        <v>2275</v>
      </c>
      <c r="C232" s="668">
        <v>1200000000</v>
      </c>
      <c r="D232" s="606">
        <f t="shared" si="13"/>
        <v>1200000000</v>
      </c>
      <c r="G232">
        <v>211101202</v>
      </c>
      <c r="H232" t="s">
        <v>2274</v>
      </c>
      <c r="I232" s="617"/>
      <c r="J232" s="617"/>
      <c r="K232" s="679"/>
      <c r="L232" s="679"/>
      <c r="M232" s="680">
        <v>641124213</v>
      </c>
    </row>
    <row r="233" spans="1:18">
      <c r="A233" s="541">
        <v>211101207</v>
      </c>
      <c r="B233" s="541" t="s">
        <v>2013</v>
      </c>
      <c r="C233" s="656">
        <v>70088272</v>
      </c>
      <c r="D233" s="606">
        <f t="shared" si="13"/>
        <v>70088272</v>
      </c>
      <c r="G233">
        <v>211101206</v>
      </c>
      <c r="H233" t="s">
        <v>2275</v>
      </c>
      <c r="M233" s="677">
        <v>1200000000</v>
      </c>
    </row>
    <row r="234" spans="1:18">
      <c r="A234" s="541">
        <v>211101208</v>
      </c>
      <c r="B234" s="541" t="s">
        <v>2014</v>
      </c>
      <c r="C234" s="656">
        <v>4400000000</v>
      </c>
      <c r="D234" s="606">
        <f t="shared" si="13"/>
        <v>4400000000</v>
      </c>
      <c r="G234">
        <v>211101207</v>
      </c>
      <c r="H234" t="s">
        <v>2275</v>
      </c>
      <c r="M234" s="677">
        <v>70088272</v>
      </c>
    </row>
    <row r="235" spans="1:18">
      <c r="A235" s="599">
        <v>211101209</v>
      </c>
      <c r="B235" s="599" t="s">
        <v>2054</v>
      </c>
      <c r="C235" s="656">
        <v>1005000000</v>
      </c>
      <c r="D235" s="606">
        <f t="shared" si="13"/>
        <v>1005000000</v>
      </c>
      <c r="G235">
        <v>211101208</v>
      </c>
      <c r="H235" t="s">
        <v>2276</v>
      </c>
      <c r="M235" s="677">
        <v>4400000000</v>
      </c>
    </row>
    <row r="236" spans="1:18">
      <c r="A236" s="541">
        <v>211101211</v>
      </c>
      <c r="B236" s="541" t="s">
        <v>1350</v>
      </c>
      <c r="C236" s="656">
        <v>1149393955</v>
      </c>
      <c r="D236" s="606">
        <f t="shared" si="13"/>
        <v>1149393955</v>
      </c>
      <c r="G236">
        <v>211101209</v>
      </c>
      <c r="H236" t="s">
        <v>2277</v>
      </c>
      <c r="M236" s="677">
        <v>1005000000</v>
      </c>
    </row>
    <row r="237" spans="1:18">
      <c r="A237" s="541">
        <v>211101212</v>
      </c>
      <c r="B237" s="541" t="s">
        <v>1352</v>
      </c>
      <c r="C237" s="656">
        <v>-1149393955</v>
      </c>
      <c r="D237" s="606">
        <f t="shared" si="13"/>
        <v>-1149393955</v>
      </c>
      <c r="G237">
        <v>211101211</v>
      </c>
      <c r="H237" t="s">
        <v>2278</v>
      </c>
      <c r="M237" s="677">
        <v>1149393955</v>
      </c>
    </row>
    <row r="238" spans="1:18">
      <c r="A238" s="541" t="s">
        <v>1337</v>
      </c>
      <c r="B238" s="541" t="s">
        <v>1338</v>
      </c>
      <c r="C238" s="662">
        <f>SUM(C225:C237)</f>
        <v>11412304606</v>
      </c>
      <c r="D238" s="662">
        <f>SUM(D225:D237)</f>
        <v>11412304606</v>
      </c>
      <c r="G238">
        <v>211101212</v>
      </c>
      <c r="H238" t="s">
        <v>2157</v>
      </c>
      <c r="M238" s="677">
        <v>-1149393955</v>
      </c>
      <c r="R238">
        <v>21788003511</v>
      </c>
    </row>
    <row r="239" spans="1:18">
      <c r="A239" s="541" t="s">
        <v>1353</v>
      </c>
      <c r="B239" s="541" t="s">
        <v>1354</v>
      </c>
      <c r="C239" s="662"/>
      <c r="D239" s="606"/>
      <c r="G239">
        <v>2171</v>
      </c>
      <c r="H239" t="s">
        <v>2279</v>
      </c>
      <c r="O239" s="677">
        <v>1358538069</v>
      </c>
    </row>
    <row r="240" spans="1:18">
      <c r="A240" s="541" t="s">
        <v>1355</v>
      </c>
      <c r="B240" s="541"/>
      <c r="C240" s="662"/>
      <c r="D240" s="606"/>
      <c r="G240">
        <v>217101</v>
      </c>
      <c r="H240" t="s">
        <v>2280</v>
      </c>
      <c r="N240" s="677">
        <v>1358538069</v>
      </c>
      <c r="Q240">
        <v>20663498728</v>
      </c>
    </row>
    <row r="241" spans="1:18">
      <c r="A241" s="541" t="s">
        <v>1356</v>
      </c>
      <c r="B241" s="541" t="s">
        <v>1357</v>
      </c>
      <c r="C241" s="677">
        <v>1282051250</v>
      </c>
      <c r="D241" s="606">
        <f>+C241</f>
        <v>1282051250</v>
      </c>
      <c r="G241">
        <v>217101101</v>
      </c>
      <c r="H241" t="s">
        <v>2281</v>
      </c>
      <c r="M241" s="677">
        <v>1282051250</v>
      </c>
    </row>
    <row r="242" spans="1:18">
      <c r="A242" s="541" t="s">
        <v>1358</v>
      </c>
      <c r="B242" s="541" t="s">
        <v>1359</v>
      </c>
      <c r="C242" s="656"/>
      <c r="D242" s="606">
        <f t="shared" ref="D242:D248" si="14">+C242</f>
        <v>0</v>
      </c>
      <c r="G242">
        <v>217101103</v>
      </c>
      <c r="H242" t="s">
        <v>2282</v>
      </c>
      <c r="M242" s="677">
        <v>51486790</v>
      </c>
    </row>
    <row r="243" spans="1:18">
      <c r="A243" s="541" t="s">
        <v>1767</v>
      </c>
      <c r="B243" s="541" t="s">
        <v>1768</v>
      </c>
      <c r="C243" s="670">
        <v>51486790</v>
      </c>
      <c r="D243" s="606">
        <f t="shared" si="14"/>
        <v>51486790</v>
      </c>
      <c r="G243">
        <v>217101104</v>
      </c>
      <c r="H243" t="s">
        <v>2283</v>
      </c>
      <c r="M243" s="677">
        <v>25000027</v>
      </c>
    </row>
    <row r="244" spans="1:18">
      <c r="A244" s="541" t="s">
        <v>1360</v>
      </c>
      <c r="B244" s="541" t="s">
        <v>1361</v>
      </c>
      <c r="C244" s="670">
        <v>25000027</v>
      </c>
      <c r="D244" s="606">
        <f t="shared" si="14"/>
        <v>25000027</v>
      </c>
      <c r="G244">
        <v>217101198</v>
      </c>
      <c r="H244" t="s">
        <v>2284</v>
      </c>
      <c r="M244" s="677">
        <v>336414114</v>
      </c>
    </row>
    <row r="245" spans="1:18">
      <c r="A245" s="541" t="s">
        <v>2015</v>
      </c>
      <c r="B245" s="541" t="s">
        <v>1002</v>
      </c>
      <c r="C245" s="668"/>
      <c r="D245" s="606">
        <f t="shared" si="14"/>
        <v>0</v>
      </c>
      <c r="G245">
        <v>217101199</v>
      </c>
      <c r="H245" t="s">
        <v>2285</v>
      </c>
      <c r="M245" s="677">
        <v>-336414112</v>
      </c>
    </row>
    <row r="246" spans="1:18">
      <c r="A246" s="541" t="s">
        <v>1363</v>
      </c>
      <c r="B246" s="541" t="s">
        <v>1364</v>
      </c>
      <c r="C246" s="656">
        <v>336414114</v>
      </c>
      <c r="D246" s="606">
        <f t="shared" si="14"/>
        <v>336414114</v>
      </c>
      <c r="G246">
        <v>2191</v>
      </c>
      <c r="H246" t="s">
        <v>2286</v>
      </c>
      <c r="O246" s="677">
        <v>2000000000</v>
      </c>
    </row>
    <row r="247" spans="1:18">
      <c r="A247" s="541" t="s">
        <v>1365</v>
      </c>
      <c r="B247" s="541" t="s">
        <v>1366</v>
      </c>
      <c r="C247" s="656">
        <v>-336414112</v>
      </c>
      <c r="D247" s="606">
        <f t="shared" si="14"/>
        <v>-336414112</v>
      </c>
      <c r="G247">
        <v>219101</v>
      </c>
      <c r="H247" t="s">
        <v>2287</v>
      </c>
      <c r="N247" s="677">
        <v>2000000000</v>
      </c>
    </row>
    <row r="248" spans="1:18">
      <c r="A248" s="541" t="s">
        <v>1367</v>
      </c>
      <c r="B248" s="541" t="s">
        <v>1368</v>
      </c>
      <c r="C248" s="656"/>
      <c r="D248" s="606">
        <f t="shared" si="14"/>
        <v>0</v>
      </c>
      <c r="G248">
        <v>219101001</v>
      </c>
      <c r="H248" t="s">
        <v>2288</v>
      </c>
      <c r="M248" s="677">
        <v>2000000000</v>
      </c>
    </row>
    <row r="249" spans="1:18">
      <c r="A249" s="541" t="s">
        <v>1355</v>
      </c>
      <c r="B249" s="541"/>
      <c r="C249" s="662">
        <f>SUM(C241:C248)</f>
        <v>1358538069</v>
      </c>
      <c r="D249" s="662">
        <f>SUM(D241:D248)</f>
        <v>1358538069</v>
      </c>
      <c r="G249" t="s">
        <v>2289</v>
      </c>
    </row>
    <row r="250" spans="1:18">
      <c r="A250" s="541" t="s">
        <v>1353</v>
      </c>
      <c r="B250" s="541" t="s">
        <v>1354</v>
      </c>
      <c r="C250" s="662">
        <f>+C249</f>
        <v>1358538069</v>
      </c>
      <c r="D250" s="662">
        <f>+D249</f>
        <v>1358538069</v>
      </c>
      <c r="G250" t="s">
        <v>1375</v>
      </c>
    </row>
    <row r="251" spans="1:18">
      <c r="A251" s="541">
        <v>2191</v>
      </c>
      <c r="B251" s="541" t="s">
        <v>2286</v>
      </c>
      <c r="C251" s="662"/>
      <c r="D251" s="606"/>
      <c r="G251">
        <v>31</v>
      </c>
      <c r="H251" t="s">
        <v>2290</v>
      </c>
      <c r="R251">
        <v>20663498728</v>
      </c>
    </row>
    <row r="252" spans="1:18">
      <c r="A252" s="541">
        <v>219101</v>
      </c>
      <c r="B252" s="541" t="s">
        <v>2287</v>
      </c>
      <c r="C252" s="662"/>
      <c r="D252" s="606"/>
      <c r="G252">
        <v>3101</v>
      </c>
      <c r="H252" t="s">
        <v>2291</v>
      </c>
      <c r="O252" s="677">
        <v>20663498728</v>
      </c>
    </row>
    <row r="253" spans="1:18">
      <c r="A253" s="541">
        <v>219101001</v>
      </c>
      <c r="B253" s="541" t="s">
        <v>2288</v>
      </c>
      <c r="C253" s="662">
        <v>2000000000</v>
      </c>
      <c r="D253" s="606">
        <f>+C253</f>
        <v>2000000000</v>
      </c>
      <c r="G253">
        <v>310101</v>
      </c>
      <c r="H253" t="s">
        <v>2292</v>
      </c>
      <c r="N253" s="677">
        <v>15000000000</v>
      </c>
      <c r="R253">
        <v>42451502239</v>
      </c>
    </row>
    <row r="254" spans="1:18">
      <c r="A254" s="541" t="s">
        <v>1311</v>
      </c>
      <c r="B254" s="541" t="s">
        <v>487</v>
      </c>
      <c r="C254" s="662">
        <f>+C253+C250+C238+C223</f>
        <v>21788003511</v>
      </c>
      <c r="D254" s="662">
        <f>+D253+D250+D238+D223</f>
        <v>21788003511</v>
      </c>
      <c r="G254">
        <v>310101011</v>
      </c>
      <c r="H254" t="s">
        <v>2293</v>
      </c>
      <c r="M254" s="677">
        <v>15000000000</v>
      </c>
      <c r="R254">
        <v>-797173249</v>
      </c>
    </row>
    <row r="255" spans="1:18">
      <c r="A255" s="541" t="s">
        <v>1309</v>
      </c>
      <c r="B255" s="541" t="s">
        <v>1310</v>
      </c>
      <c r="C255" s="662">
        <f>+C254</f>
        <v>21788003511</v>
      </c>
      <c r="D255" s="662">
        <f>+D254</f>
        <v>21788003511</v>
      </c>
      <c r="G255">
        <v>310121</v>
      </c>
      <c r="H255" t="s">
        <v>2294</v>
      </c>
      <c r="N255" s="677">
        <v>4359730099</v>
      </c>
    </row>
    <row r="256" spans="1:18">
      <c r="A256" s="541" t="s">
        <v>1374</v>
      </c>
      <c r="B256" s="541" t="s">
        <v>1375</v>
      </c>
      <c r="C256" s="662"/>
      <c r="D256" s="606"/>
      <c r="G256">
        <v>310121001</v>
      </c>
      <c r="H256" t="s">
        <v>2295</v>
      </c>
      <c r="M256" s="677">
        <v>1291637728</v>
      </c>
      <c r="R256">
        <v>56</v>
      </c>
    </row>
    <row r="257" spans="1:14">
      <c r="A257" s="541" t="s">
        <v>1376</v>
      </c>
      <c r="B257" s="541" t="s">
        <v>1375</v>
      </c>
      <c r="C257" s="662"/>
      <c r="D257" s="606"/>
      <c r="G257" t="s">
        <v>1375</v>
      </c>
    </row>
    <row r="258" spans="1:14">
      <c r="A258" s="541" t="s">
        <v>1377</v>
      </c>
      <c r="B258" s="541" t="s">
        <v>1378</v>
      </c>
      <c r="C258" s="662"/>
      <c r="D258" s="606"/>
      <c r="G258">
        <v>310121011</v>
      </c>
      <c r="H258" t="s">
        <v>2296</v>
      </c>
      <c r="M258" s="677">
        <v>1815870408</v>
      </c>
    </row>
    <row r="259" spans="1:14">
      <c r="A259" s="541" t="s">
        <v>1379</v>
      </c>
      <c r="B259" s="541" t="s">
        <v>1380</v>
      </c>
      <c r="C259" s="662"/>
      <c r="D259" s="606"/>
      <c r="G259">
        <v>310121012</v>
      </c>
      <c r="H259" t="s">
        <v>2297</v>
      </c>
      <c r="M259" s="677">
        <v>1252221963</v>
      </c>
    </row>
    <row r="260" spans="1:14">
      <c r="A260" s="541" t="s">
        <v>1381</v>
      </c>
      <c r="B260" s="541" t="s">
        <v>1382</v>
      </c>
      <c r="C260" s="661">
        <v>15000000000</v>
      </c>
      <c r="D260" s="605">
        <f>+C260</f>
        <v>15000000000</v>
      </c>
      <c r="G260">
        <v>310131</v>
      </c>
      <c r="H260" t="s">
        <v>2298</v>
      </c>
      <c r="N260" s="677">
        <v>1303768629</v>
      </c>
    </row>
    <row r="261" spans="1:14">
      <c r="A261" s="541" t="s">
        <v>1379</v>
      </c>
      <c r="B261" s="541" t="s">
        <v>1380</v>
      </c>
      <c r="C261" s="661">
        <f>+C260</f>
        <v>15000000000</v>
      </c>
      <c r="D261" s="605">
        <f>+C261</f>
        <v>15000000000</v>
      </c>
      <c r="G261">
        <v>310131001</v>
      </c>
      <c r="H261" t="s">
        <v>2299</v>
      </c>
      <c r="M261" s="677">
        <v>1303768629</v>
      </c>
    </row>
    <row r="262" spans="1:14">
      <c r="A262" s="541" t="s">
        <v>1383</v>
      </c>
      <c r="B262" s="541" t="s">
        <v>1384</v>
      </c>
      <c r="C262" s="661"/>
      <c r="D262" s="605"/>
      <c r="G262" t="s">
        <v>2300</v>
      </c>
    </row>
    <row r="263" spans="1:14">
      <c r="A263" s="541" t="s">
        <v>1385</v>
      </c>
      <c r="B263" s="541" t="s">
        <v>1386</v>
      </c>
      <c r="C263" s="661">
        <v>1291637728</v>
      </c>
      <c r="D263" s="605">
        <f>+C263</f>
        <v>1291637728</v>
      </c>
      <c r="G263" t="s">
        <v>2301</v>
      </c>
    </row>
    <row r="264" spans="1:14">
      <c r="A264" s="541" t="s">
        <v>1387</v>
      </c>
      <c r="B264" s="541" t="s">
        <v>1388</v>
      </c>
      <c r="C264" s="662">
        <v>1815870408</v>
      </c>
      <c r="D264" s="605">
        <f t="shared" ref="D264:D265" si="15">+C264</f>
        <v>1815870408</v>
      </c>
      <c r="G264" t="s">
        <v>2301</v>
      </c>
    </row>
    <row r="265" spans="1:14">
      <c r="A265" s="541" t="s">
        <v>1844</v>
      </c>
      <c r="B265" s="541" t="s">
        <v>1845</v>
      </c>
      <c r="C265" s="662">
        <v>1252221963</v>
      </c>
      <c r="D265" s="605">
        <f t="shared" si="15"/>
        <v>1252221963</v>
      </c>
      <c r="G265" t="s">
        <v>2302</v>
      </c>
    </row>
    <row r="266" spans="1:14">
      <c r="A266" s="541" t="s">
        <v>1846</v>
      </c>
      <c r="B266" s="541" t="s">
        <v>999</v>
      </c>
      <c r="C266" s="661"/>
      <c r="D266" s="605"/>
      <c r="G266" t="s">
        <v>2303</v>
      </c>
    </row>
    <row r="267" spans="1:14">
      <c r="A267" s="541" t="s">
        <v>1383</v>
      </c>
      <c r="B267" s="541" t="s">
        <v>1384</v>
      </c>
      <c r="C267" s="662">
        <f>SUM(C263:C266)</f>
        <v>4359730099</v>
      </c>
      <c r="D267" s="662">
        <f>SUM(D263:D266)</f>
        <v>4359730099</v>
      </c>
      <c r="G267" t="s">
        <v>2303</v>
      </c>
    </row>
    <row r="268" spans="1:14">
      <c r="A268" s="541" t="s">
        <v>1389</v>
      </c>
      <c r="B268" s="541" t="s">
        <v>1390</v>
      </c>
      <c r="C268" s="650"/>
      <c r="D268" s="650"/>
    </row>
    <row r="269" spans="1:14">
      <c r="A269" s="541" t="s">
        <v>1391</v>
      </c>
      <c r="B269" s="541" t="s">
        <v>1392</v>
      </c>
      <c r="C269" s="650">
        <v>1303768629</v>
      </c>
      <c r="D269" s="650">
        <f>+C269</f>
        <v>1303768629</v>
      </c>
    </row>
    <row r="270" spans="1:14">
      <c r="A270" s="541" t="s">
        <v>1393</v>
      </c>
      <c r="B270" s="541" t="s">
        <v>1000</v>
      </c>
      <c r="C270" s="650"/>
      <c r="D270" s="650"/>
    </row>
    <row r="271" spans="1:14">
      <c r="A271" s="541" t="s">
        <v>1389</v>
      </c>
      <c r="B271" s="541" t="s">
        <v>1390</v>
      </c>
      <c r="C271" s="650">
        <f>+C269</f>
        <v>1303768629</v>
      </c>
      <c r="D271" s="650">
        <f>+D269</f>
        <v>1303768629</v>
      </c>
    </row>
    <row r="272" spans="1:14">
      <c r="A272" s="541" t="s">
        <v>1377</v>
      </c>
      <c r="B272" s="541" t="s">
        <v>1378</v>
      </c>
      <c r="C272" s="651">
        <f>+C271+C267+C261</f>
        <v>20663498728</v>
      </c>
      <c r="D272" s="651">
        <f>+D271+D267+D261</f>
        <v>20663498728</v>
      </c>
    </row>
    <row r="273" spans="1:19">
      <c r="A273" s="541" t="s">
        <v>1376</v>
      </c>
      <c r="B273" s="541" t="s">
        <v>1375</v>
      </c>
      <c r="C273" s="650">
        <f>+C272</f>
        <v>20663498728</v>
      </c>
      <c r="D273" s="650">
        <f>+D272</f>
        <v>20663498728</v>
      </c>
    </row>
    <row r="274" spans="1:19">
      <c r="A274" s="541" t="s">
        <v>1374</v>
      </c>
      <c r="B274" s="541" t="s">
        <v>1375</v>
      </c>
      <c r="C274" s="650">
        <f>+C273</f>
        <v>20663498728</v>
      </c>
      <c r="D274" s="650">
        <f>+D273</f>
        <v>20663498728</v>
      </c>
    </row>
    <row r="275" spans="1:19">
      <c r="A275" s="541" t="s">
        <v>1394</v>
      </c>
      <c r="B275" s="541" t="s">
        <v>1395</v>
      </c>
      <c r="C275" s="650">
        <f>+C195-C255-C274+4</f>
        <v>285413091</v>
      </c>
      <c r="D275" s="650">
        <f>+D195-D255-D274+4</f>
        <v>285413091</v>
      </c>
      <c r="E275" s="636">
        <f>+D275-R254</f>
        <v>1082586340</v>
      </c>
    </row>
    <row r="276" spans="1:19">
      <c r="A276" s="541" t="s">
        <v>1396</v>
      </c>
      <c r="B276" s="541" t="s">
        <v>1397</v>
      </c>
      <c r="C276" s="650"/>
      <c r="D276" s="589"/>
    </row>
    <row r="277" spans="1:19">
      <c r="A277" s="541" t="s">
        <v>1398</v>
      </c>
      <c r="B277" s="541" t="s">
        <v>1399</v>
      </c>
      <c r="C277" s="650"/>
      <c r="D277" s="589"/>
      <c r="G277" t="s">
        <v>2306</v>
      </c>
      <c r="L277" s="677"/>
      <c r="P277" s="677"/>
      <c r="Q277" s="677"/>
      <c r="R277" s="677">
        <v>2460845474</v>
      </c>
      <c r="S277" s="677"/>
    </row>
    <row r="278" spans="1:19">
      <c r="A278" s="541" t="s">
        <v>1400</v>
      </c>
      <c r="B278" s="541" t="s">
        <v>1401</v>
      </c>
      <c r="C278" s="650"/>
      <c r="D278" s="589"/>
      <c r="G278" t="s">
        <v>2307</v>
      </c>
      <c r="L278" s="677"/>
      <c r="O278" s="677">
        <v>1387147143</v>
      </c>
      <c r="P278" s="677"/>
      <c r="Q278" s="677"/>
      <c r="R278" s="677"/>
      <c r="S278" s="677"/>
    </row>
    <row r="279" spans="1:19">
      <c r="A279" s="541" t="s">
        <v>1402</v>
      </c>
      <c r="B279" s="541" t="s">
        <v>1403</v>
      </c>
      <c r="C279" s="650"/>
      <c r="D279" s="589"/>
      <c r="G279" t="s">
        <v>2308</v>
      </c>
      <c r="L279" s="677"/>
      <c r="N279" s="677">
        <v>3746007564</v>
      </c>
      <c r="P279" s="677"/>
      <c r="Q279" s="677"/>
      <c r="R279" s="677"/>
      <c r="S279" s="677"/>
    </row>
    <row r="280" spans="1:19">
      <c r="A280" s="541" t="s">
        <v>1404</v>
      </c>
      <c r="B280" s="541" t="s">
        <v>1405</v>
      </c>
      <c r="C280" s="651">
        <v>2455242592</v>
      </c>
      <c r="D280" s="596">
        <f>+C280</f>
        <v>2455242592</v>
      </c>
      <c r="G280" t="s">
        <v>2309</v>
      </c>
      <c r="L280" s="677">
        <v>2455242592</v>
      </c>
      <c r="P280" s="677"/>
      <c r="Q280" s="677"/>
      <c r="R280" s="677"/>
      <c r="S280" s="677"/>
    </row>
    <row r="281" spans="1:19">
      <c r="A281" s="541" t="s">
        <v>1406</v>
      </c>
      <c r="B281" s="541" t="s">
        <v>1407</v>
      </c>
      <c r="C281" s="651">
        <v>93577533</v>
      </c>
      <c r="D281" s="596">
        <f t="shared" ref="D281:D283" si="16">+C281</f>
        <v>93577533</v>
      </c>
      <c r="G281" t="s">
        <v>2310</v>
      </c>
      <c r="L281" s="677">
        <v>93577533</v>
      </c>
      <c r="P281" s="677"/>
      <c r="Q281" s="677"/>
      <c r="R281" s="677"/>
      <c r="S281" s="677"/>
    </row>
    <row r="282" spans="1:19">
      <c r="A282" s="541" t="s">
        <v>1408</v>
      </c>
      <c r="B282" s="541" t="s">
        <v>1409</v>
      </c>
      <c r="C282" s="651">
        <v>1197187439</v>
      </c>
      <c r="D282" s="596">
        <f t="shared" si="16"/>
        <v>1197187439</v>
      </c>
      <c r="G282" t="s">
        <v>2311</v>
      </c>
      <c r="L282" s="677">
        <v>1197187439</v>
      </c>
      <c r="P282" s="677"/>
      <c r="Q282" s="677"/>
      <c r="R282" s="677"/>
      <c r="S282" s="677"/>
    </row>
    <row r="283" spans="1:19">
      <c r="A283" s="541" t="s">
        <v>1410</v>
      </c>
      <c r="B283" s="541" t="s">
        <v>1411</v>
      </c>
      <c r="D283" s="596">
        <f t="shared" si="16"/>
        <v>0</v>
      </c>
      <c r="G283" t="s">
        <v>2312</v>
      </c>
      <c r="L283" s="677"/>
      <c r="N283" s="677">
        <v>-2358860421</v>
      </c>
      <c r="P283" s="677"/>
      <c r="Q283" s="677"/>
      <c r="R283" s="677"/>
      <c r="S283" s="677"/>
    </row>
    <row r="284" spans="1:19">
      <c r="A284" s="541" t="s">
        <v>1402</v>
      </c>
      <c r="B284" s="541" t="s">
        <v>1403</v>
      </c>
      <c r="C284" s="671">
        <f>SUM(C280:C283)</f>
        <v>3746007564</v>
      </c>
      <c r="D284" s="671">
        <f>SUM(D280:D283)</f>
        <v>3746007564</v>
      </c>
      <c r="G284" t="s">
        <v>2313</v>
      </c>
      <c r="L284" s="677">
        <v>-1801713058</v>
      </c>
      <c r="P284" s="677"/>
      <c r="Q284" s="677"/>
      <c r="R284" s="677"/>
      <c r="S284" s="677"/>
    </row>
    <row r="285" spans="1:19">
      <c r="A285" s="541" t="s">
        <v>1412</v>
      </c>
      <c r="B285" s="541" t="s">
        <v>1413</v>
      </c>
      <c r="C285" s="650"/>
      <c r="D285" s="589"/>
      <c r="G285" t="s">
        <v>2314</v>
      </c>
      <c r="L285" s="677">
        <v>-15759797</v>
      </c>
      <c r="P285" s="677"/>
      <c r="Q285" s="677"/>
      <c r="R285" s="677"/>
      <c r="S285" s="677"/>
    </row>
    <row r="286" spans="1:19">
      <c r="A286" s="541">
        <v>410102001</v>
      </c>
      <c r="B286" s="541" t="s">
        <v>1415</v>
      </c>
      <c r="C286" s="650">
        <f>-1801713058+1100000000</f>
        <v>-701713058</v>
      </c>
      <c r="D286" s="589">
        <f>+C286</f>
        <v>-701713058</v>
      </c>
      <c r="G286" t="s">
        <v>2315</v>
      </c>
      <c r="L286" s="677">
        <v>-541387566</v>
      </c>
      <c r="P286" s="677"/>
      <c r="Q286" s="677"/>
      <c r="R286" s="677"/>
      <c r="S286" s="677"/>
    </row>
    <row r="287" spans="1:19">
      <c r="A287" s="541">
        <v>410102002</v>
      </c>
      <c r="B287" s="541" t="s">
        <v>1417</v>
      </c>
      <c r="C287" s="650">
        <v>-15759797</v>
      </c>
      <c r="D287" s="589">
        <f t="shared" ref="D287:D290" si="17">+C287</f>
        <v>-15759797</v>
      </c>
      <c r="G287" t="s">
        <v>2316</v>
      </c>
      <c r="L287" s="677"/>
      <c r="O287" s="677">
        <v>453464780</v>
      </c>
      <c r="P287" s="677"/>
      <c r="Q287" s="677"/>
      <c r="R287" s="677"/>
      <c r="S287" s="677"/>
    </row>
    <row r="288" spans="1:19">
      <c r="A288" s="541">
        <v>410102003</v>
      </c>
      <c r="B288" s="541" t="s">
        <v>1419</v>
      </c>
      <c r="C288" s="650">
        <v>-541387566</v>
      </c>
      <c r="D288" s="589">
        <f t="shared" si="17"/>
        <v>-541387566</v>
      </c>
      <c r="L288" s="677"/>
      <c r="P288" s="677"/>
      <c r="Q288" s="677"/>
      <c r="R288" s="677"/>
      <c r="S288" s="677"/>
    </row>
    <row r="289" spans="1:19">
      <c r="A289" s="541">
        <v>410102004</v>
      </c>
      <c r="B289" s="541" t="s">
        <v>1421</v>
      </c>
      <c r="D289" s="589">
        <f t="shared" si="17"/>
        <v>0</v>
      </c>
      <c r="L289" s="677"/>
      <c r="P289" s="677"/>
      <c r="Q289" s="677"/>
      <c r="R289" s="677"/>
      <c r="S289" s="677"/>
    </row>
    <row r="290" spans="1:19">
      <c r="A290" s="541">
        <v>410102033</v>
      </c>
      <c r="B290" s="599"/>
      <c r="C290" s="672"/>
      <c r="D290" s="589">
        <f t="shared" si="17"/>
        <v>0</v>
      </c>
      <c r="L290" s="677"/>
      <c r="P290" s="677"/>
      <c r="Q290" s="677"/>
      <c r="R290" s="677"/>
      <c r="S290" s="677"/>
    </row>
    <row r="291" spans="1:19">
      <c r="A291" s="541">
        <v>410102</v>
      </c>
      <c r="B291" s="541" t="s">
        <v>1413</v>
      </c>
      <c r="C291" s="673">
        <f>SUM(C286:C290)</f>
        <v>-1258860421</v>
      </c>
      <c r="D291" s="673">
        <f>SUM(D286:D290)</f>
        <v>-1258860421</v>
      </c>
      <c r="L291" s="677"/>
      <c r="P291" s="677"/>
      <c r="Q291" s="677"/>
      <c r="R291" s="677"/>
      <c r="S291" s="677"/>
    </row>
    <row r="292" spans="1:19">
      <c r="A292" s="541">
        <v>4101</v>
      </c>
      <c r="B292" s="541" t="s">
        <v>1401</v>
      </c>
      <c r="C292" s="650">
        <f>+C284+C291</f>
        <v>2487147143</v>
      </c>
      <c r="D292" s="650">
        <f>+D284+D291</f>
        <v>2487147143</v>
      </c>
      <c r="L292" s="677"/>
      <c r="P292" s="677"/>
      <c r="Q292" s="677"/>
      <c r="R292" s="677"/>
      <c r="S292" s="677"/>
    </row>
    <row r="293" spans="1:19">
      <c r="A293" s="541" t="s">
        <v>1422</v>
      </c>
      <c r="B293" s="541" t="s">
        <v>1423</v>
      </c>
      <c r="C293" s="650"/>
      <c r="D293" s="589"/>
      <c r="L293" s="677"/>
      <c r="P293" s="677"/>
      <c r="Q293" s="677"/>
      <c r="R293" s="677"/>
      <c r="S293" s="677"/>
    </row>
    <row r="294" spans="1:19">
      <c r="A294" s="541" t="s">
        <v>1424</v>
      </c>
      <c r="B294" s="541" t="s">
        <v>1425</v>
      </c>
      <c r="C294" s="650"/>
      <c r="D294" s="589"/>
      <c r="L294" s="677"/>
      <c r="P294" s="677"/>
      <c r="Q294" s="677"/>
      <c r="R294" s="677"/>
      <c r="S294" s="677"/>
    </row>
    <row r="295" spans="1:19">
      <c r="A295" s="541" t="s">
        <v>1426</v>
      </c>
      <c r="B295" s="541" t="s">
        <v>1427</v>
      </c>
      <c r="C295" s="650">
        <v>163262206</v>
      </c>
      <c r="D295" s="589">
        <f>+C295</f>
        <v>163262206</v>
      </c>
      <c r="L295" s="677"/>
      <c r="P295" s="677"/>
      <c r="Q295" s="677"/>
      <c r="R295" s="677"/>
      <c r="S295" s="677"/>
    </row>
    <row r="296" spans="1:19">
      <c r="A296" s="541" t="s">
        <v>1428</v>
      </c>
      <c r="B296" s="541" t="s">
        <v>1429</v>
      </c>
      <c r="C296" s="650">
        <v>1199771</v>
      </c>
      <c r="D296" s="589">
        <f t="shared" ref="D296:D297" si="18">+C296</f>
        <v>1199771</v>
      </c>
      <c r="L296" s="677"/>
      <c r="P296" s="677"/>
      <c r="Q296" s="677"/>
      <c r="R296" s="677"/>
      <c r="S296" s="677"/>
    </row>
    <row r="297" spans="1:19">
      <c r="A297" s="541" t="s">
        <v>1430</v>
      </c>
      <c r="B297" s="541" t="s">
        <v>1431</v>
      </c>
      <c r="C297" s="663">
        <v>1325305732</v>
      </c>
      <c r="D297" s="589">
        <f t="shared" si="18"/>
        <v>1325305732</v>
      </c>
      <c r="G297" t="s">
        <v>2317</v>
      </c>
      <c r="L297" s="677"/>
      <c r="N297" s="677">
        <v>1489767709</v>
      </c>
      <c r="P297" s="677"/>
      <c r="Q297" s="677"/>
      <c r="R297" s="677"/>
      <c r="S297" s="677"/>
    </row>
    <row r="298" spans="1:19">
      <c r="A298" s="541" t="s">
        <v>1424</v>
      </c>
      <c r="B298" s="541" t="s">
        <v>1425</v>
      </c>
      <c r="C298" s="674">
        <f>SUM(C295:C297)</f>
        <v>1489767709</v>
      </c>
      <c r="D298" s="674">
        <f>SUM(D295:D297)</f>
        <v>1489767709</v>
      </c>
      <c r="G298" t="s">
        <v>2318</v>
      </c>
      <c r="L298" s="677">
        <v>163262206</v>
      </c>
      <c r="P298" s="677"/>
      <c r="Q298" s="677"/>
      <c r="R298" s="677"/>
      <c r="S298" s="677"/>
    </row>
    <row r="299" spans="1:19">
      <c r="A299" s="541" t="s">
        <v>1432</v>
      </c>
      <c r="B299" s="541" t="s">
        <v>1433</v>
      </c>
      <c r="C299" s="650"/>
      <c r="D299" s="589"/>
      <c r="G299" t="s">
        <v>2319</v>
      </c>
      <c r="L299" s="677">
        <v>1199771</v>
      </c>
      <c r="P299" s="677"/>
      <c r="Q299" s="677"/>
      <c r="R299" s="677"/>
      <c r="S299" s="677"/>
    </row>
    <row r="300" spans="1:19">
      <c r="A300" s="541" t="s">
        <v>1434</v>
      </c>
      <c r="B300" s="541" t="s">
        <v>1435</v>
      </c>
      <c r="C300" s="650">
        <v>-110073736</v>
      </c>
      <c r="D300" s="589">
        <f>+C300</f>
        <v>-110073736</v>
      </c>
      <c r="G300" t="s">
        <v>2320</v>
      </c>
      <c r="L300" s="677">
        <v>1325305732</v>
      </c>
      <c r="P300" s="677"/>
      <c r="Q300" s="677"/>
      <c r="R300" s="677"/>
      <c r="S300" s="677"/>
    </row>
    <row r="301" spans="1:19">
      <c r="A301" s="541" t="s">
        <v>1436</v>
      </c>
      <c r="B301" s="541" t="s">
        <v>1437</v>
      </c>
      <c r="C301" s="650">
        <v>-602081</v>
      </c>
      <c r="D301" s="589">
        <f t="shared" ref="D301:D302" si="19">+C301</f>
        <v>-602081</v>
      </c>
      <c r="G301" t="s">
        <v>2321</v>
      </c>
      <c r="L301" s="677"/>
      <c r="N301" s="677">
        <v>-1036302929</v>
      </c>
      <c r="P301" s="677"/>
      <c r="Q301" s="677"/>
      <c r="R301" s="677"/>
      <c r="S301" s="677"/>
    </row>
    <row r="302" spans="1:19">
      <c r="A302" s="541" t="s">
        <v>1438</v>
      </c>
      <c r="B302" s="541" t="s">
        <v>1439</v>
      </c>
      <c r="C302" s="650">
        <v>-925627112</v>
      </c>
      <c r="D302" s="589">
        <f t="shared" si="19"/>
        <v>-925627112</v>
      </c>
      <c r="G302" t="s">
        <v>2322</v>
      </c>
      <c r="L302" s="677">
        <v>-110073736</v>
      </c>
      <c r="P302" s="677"/>
      <c r="Q302" s="677"/>
      <c r="R302" s="677"/>
      <c r="S302" s="677"/>
    </row>
    <row r="303" spans="1:19">
      <c r="A303" s="541" t="s">
        <v>1432</v>
      </c>
      <c r="B303" s="541" t="s">
        <v>1433</v>
      </c>
      <c r="C303" s="660">
        <f>SUM(C300:C302)</f>
        <v>-1036302929</v>
      </c>
      <c r="D303" s="660">
        <f>SUM(D300:D302)</f>
        <v>-1036302929</v>
      </c>
      <c r="G303" t="s">
        <v>2323</v>
      </c>
      <c r="L303" s="677">
        <v>-602081</v>
      </c>
      <c r="P303" s="677"/>
      <c r="Q303" s="677"/>
      <c r="R303" s="677"/>
      <c r="S303" s="677"/>
    </row>
    <row r="304" spans="1:19">
      <c r="A304" s="541" t="s">
        <v>1422</v>
      </c>
      <c r="B304" s="541" t="s">
        <v>1423</v>
      </c>
      <c r="C304" s="650">
        <f>+C298+C303</f>
        <v>453464780</v>
      </c>
      <c r="D304" s="650">
        <f>+D298+D303</f>
        <v>453464780</v>
      </c>
      <c r="G304" t="s">
        <v>2324</v>
      </c>
      <c r="L304" s="677">
        <v>-925627112</v>
      </c>
      <c r="P304" s="677"/>
      <c r="Q304" s="677"/>
      <c r="R304" s="677"/>
      <c r="S304" s="677"/>
    </row>
    <row r="305" spans="1:19">
      <c r="A305" s="541" t="s">
        <v>1440</v>
      </c>
      <c r="B305" s="541" t="s">
        <v>1441</v>
      </c>
      <c r="C305" s="650"/>
      <c r="D305" s="589"/>
      <c r="G305" t="s">
        <v>2325</v>
      </c>
      <c r="L305" s="677"/>
      <c r="O305" s="677">
        <v>4635917</v>
      </c>
      <c r="P305" s="677"/>
      <c r="Q305" s="677"/>
      <c r="R305" s="677"/>
      <c r="S305" s="677"/>
    </row>
    <row r="306" spans="1:19">
      <c r="A306" s="541" t="s">
        <v>1442</v>
      </c>
      <c r="B306" s="541" t="s">
        <v>1443</v>
      </c>
      <c r="C306" s="650"/>
      <c r="D306" s="589"/>
      <c r="G306" t="s">
        <v>2326</v>
      </c>
      <c r="L306" s="677"/>
      <c r="N306" s="677">
        <v>13085174</v>
      </c>
      <c r="P306" s="677"/>
      <c r="Q306" s="677"/>
      <c r="R306" s="677"/>
      <c r="S306" s="677"/>
    </row>
    <row r="307" spans="1:19">
      <c r="A307" s="541" t="s">
        <v>2016</v>
      </c>
      <c r="B307" s="541" t="s">
        <v>1904</v>
      </c>
      <c r="C307" s="650"/>
      <c r="D307" s="589"/>
      <c r="G307" t="s">
        <v>2327</v>
      </c>
      <c r="L307" s="677">
        <v>13085174</v>
      </c>
      <c r="P307" s="677"/>
      <c r="Q307" s="677"/>
      <c r="R307" s="677"/>
      <c r="S307" s="677"/>
    </row>
    <row r="308" spans="1:19">
      <c r="A308" s="541" t="s">
        <v>1444</v>
      </c>
      <c r="B308" s="541" t="s">
        <v>1445</v>
      </c>
      <c r="C308" s="650">
        <v>13085174</v>
      </c>
      <c r="D308" s="589">
        <f>+C308</f>
        <v>13085174</v>
      </c>
      <c r="G308" t="s">
        <v>2328</v>
      </c>
      <c r="L308" s="677"/>
      <c r="N308" s="677">
        <v>-8449257</v>
      </c>
      <c r="P308" s="677"/>
      <c r="Q308" s="677"/>
      <c r="R308" s="677"/>
      <c r="S308" s="677"/>
    </row>
    <row r="309" spans="1:19">
      <c r="A309" s="541" t="s">
        <v>1442</v>
      </c>
      <c r="B309" s="541" t="s">
        <v>1443</v>
      </c>
      <c r="C309" s="674">
        <f>SUM(C308)</f>
        <v>13085174</v>
      </c>
      <c r="D309" s="674">
        <f>SUM(D308)</f>
        <v>13085174</v>
      </c>
      <c r="G309" t="s">
        <v>2329</v>
      </c>
      <c r="L309" s="677">
        <v>-8449257</v>
      </c>
      <c r="P309" s="677"/>
      <c r="Q309" s="677"/>
      <c r="R309" s="677"/>
      <c r="S309" s="677"/>
    </row>
    <row r="310" spans="1:19">
      <c r="A310" s="541" t="s">
        <v>1446</v>
      </c>
      <c r="B310" s="541" t="s">
        <v>1447</v>
      </c>
      <c r="G310" t="s">
        <v>2330</v>
      </c>
      <c r="L310" s="677"/>
      <c r="O310" s="677">
        <v>407690001</v>
      </c>
      <c r="P310" s="677"/>
      <c r="Q310" s="677"/>
      <c r="R310" s="677"/>
      <c r="S310" s="677"/>
    </row>
    <row r="311" spans="1:19">
      <c r="A311" s="541">
        <v>410302001</v>
      </c>
      <c r="B311" s="541" t="s">
        <v>1448</v>
      </c>
      <c r="C311" s="650"/>
      <c r="D311" s="589"/>
      <c r="G311" t="s">
        <v>2331</v>
      </c>
      <c r="L311" s="677"/>
      <c r="N311" s="677">
        <v>1669672095</v>
      </c>
      <c r="P311" s="677"/>
      <c r="Q311" s="677"/>
      <c r="R311" s="677"/>
      <c r="S311" s="677"/>
    </row>
    <row r="312" spans="1:19">
      <c r="A312" s="541">
        <v>410302002</v>
      </c>
      <c r="B312" s="541" t="s">
        <v>1912</v>
      </c>
      <c r="C312" s="650"/>
      <c r="D312" s="589"/>
      <c r="G312" t="s">
        <v>2332</v>
      </c>
      <c r="L312" s="677">
        <v>1548484237</v>
      </c>
      <c r="P312" s="677"/>
      <c r="Q312" s="677"/>
      <c r="R312" s="677"/>
      <c r="S312" s="677"/>
    </row>
    <row r="313" spans="1:19">
      <c r="A313" s="541">
        <v>410302003</v>
      </c>
      <c r="B313" s="541" t="s">
        <v>1450</v>
      </c>
      <c r="C313" s="650">
        <v>-8449257</v>
      </c>
      <c r="D313" s="589">
        <f>+C313</f>
        <v>-8449257</v>
      </c>
      <c r="G313" t="s">
        <v>2333</v>
      </c>
      <c r="L313" s="677">
        <v>4541114</v>
      </c>
      <c r="P313" s="677"/>
      <c r="Q313" s="677"/>
      <c r="R313" s="677"/>
      <c r="S313" s="677"/>
    </row>
    <row r="314" spans="1:19">
      <c r="A314" s="541">
        <v>410302</v>
      </c>
      <c r="B314" s="541" t="s">
        <v>1447</v>
      </c>
      <c r="C314" s="660">
        <f>+C313</f>
        <v>-8449257</v>
      </c>
      <c r="D314" s="660">
        <f>+D313</f>
        <v>-8449257</v>
      </c>
      <c r="G314" t="s">
        <v>2334</v>
      </c>
      <c r="L314" s="677">
        <v>116646744</v>
      </c>
      <c r="P314" s="677"/>
      <c r="Q314" s="677"/>
      <c r="R314" s="677"/>
      <c r="S314" s="677"/>
    </row>
    <row r="315" spans="1:19">
      <c r="A315" s="541">
        <v>410304003</v>
      </c>
      <c r="B315" s="541"/>
      <c r="C315" s="674"/>
      <c r="D315" s="674"/>
      <c r="G315" t="s">
        <v>2335</v>
      </c>
      <c r="L315" s="677"/>
      <c r="N315" s="677">
        <v>-1261982094</v>
      </c>
      <c r="P315" s="677"/>
      <c r="Q315" s="677"/>
      <c r="R315" s="677"/>
      <c r="S315" s="677"/>
    </row>
    <row r="316" spans="1:19">
      <c r="A316" s="541">
        <v>4103</v>
      </c>
      <c r="B316" s="541" t="s">
        <v>1441</v>
      </c>
      <c r="C316" s="650">
        <f>+C309+C314</f>
        <v>4635917</v>
      </c>
      <c r="D316" s="650">
        <f>+D309+D314</f>
        <v>4635917</v>
      </c>
      <c r="G316" t="s">
        <v>2336</v>
      </c>
      <c r="L316" s="677">
        <v>-1180302372</v>
      </c>
      <c r="P316" s="677"/>
      <c r="Q316" s="677"/>
      <c r="R316" s="677"/>
      <c r="S316" s="677"/>
    </row>
    <row r="317" spans="1:19">
      <c r="A317" s="541" t="s">
        <v>1451</v>
      </c>
      <c r="B317" s="541" t="s">
        <v>1452</v>
      </c>
      <c r="C317" s="650"/>
      <c r="D317" s="589"/>
      <c r="G317" t="s">
        <v>2337</v>
      </c>
      <c r="L317" s="677">
        <v>-3407882</v>
      </c>
      <c r="P317" s="677"/>
      <c r="Q317" s="677"/>
      <c r="R317" s="677"/>
      <c r="S317" s="677"/>
    </row>
    <row r="318" spans="1:19">
      <c r="A318" s="541" t="s">
        <v>1453</v>
      </c>
      <c r="B318" s="541" t="s">
        <v>1454</v>
      </c>
      <c r="C318" s="650"/>
      <c r="D318" s="589"/>
      <c r="G318" t="s">
        <v>2338</v>
      </c>
      <c r="L318" s="677">
        <v>-78271840</v>
      </c>
      <c r="P318" s="677"/>
      <c r="Q318" s="677"/>
      <c r="R318" s="677"/>
      <c r="S318" s="677"/>
    </row>
    <row r="319" spans="1:19">
      <c r="A319" s="541" t="s">
        <v>1455</v>
      </c>
      <c r="B319" s="541" t="s">
        <v>1456</v>
      </c>
      <c r="C319" s="650">
        <v>1548484237</v>
      </c>
      <c r="D319" s="589">
        <f>+C319</f>
        <v>1548484237</v>
      </c>
      <c r="G319" t="s">
        <v>2339</v>
      </c>
      <c r="L319" s="677"/>
      <c r="O319" s="677">
        <v>92340538</v>
      </c>
      <c r="P319" s="677"/>
      <c r="Q319" s="677"/>
      <c r="R319" s="677"/>
      <c r="S319" s="677"/>
    </row>
    <row r="320" spans="1:19">
      <c r="A320" s="541" t="s">
        <v>1457</v>
      </c>
      <c r="B320" s="541" t="s">
        <v>1458</v>
      </c>
      <c r="C320" s="650">
        <v>4541114</v>
      </c>
      <c r="D320" s="589">
        <f t="shared" ref="D320:D321" si="20">+C320</f>
        <v>4541114</v>
      </c>
      <c r="G320" t="s">
        <v>2340</v>
      </c>
      <c r="L320" s="677"/>
      <c r="N320" s="677">
        <v>276154578</v>
      </c>
      <c r="P320" s="677"/>
      <c r="Q320" s="677"/>
      <c r="R320" s="677"/>
      <c r="S320" s="677"/>
    </row>
    <row r="321" spans="1:19">
      <c r="A321" s="541" t="s">
        <v>1459</v>
      </c>
      <c r="B321" s="541" t="s">
        <v>1460</v>
      </c>
      <c r="C321" s="651">
        <v>116646744</v>
      </c>
      <c r="D321" s="589">
        <f t="shared" si="20"/>
        <v>116646744</v>
      </c>
      <c r="G321" t="s">
        <v>2341</v>
      </c>
      <c r="L321" s="677">
        <v>104313241</v>
      </c>
      <c r="P321" s="677"/>
      <c r="Q321" s="677"/>
      <c r="R321" s="677"/>
      <c r="S321" s="677"/>
    </row>
    <row r="322" spans="1:19">
      <c r="A322" s="541" t="s">
        <v>1453</v>
      </c>
      <c r="B322" s="541" t="s">
        <v>1454</v>
      </c>
      <c r="C322" s="674">
        <f>SUM(C319:C321)</f>
        <v>1669672095</v>
      </c>
      <c r="D322" s="674">
        <f>SUM(D319:D321)</f>
        <v>1669672095</v>
      </c>
      <c r="G322" t="s">
        <v>2342</v>
      </c>
      <c r="L322" s="677">
        <v>2276364</v>
      </c>
      <c r="P322" s="677"/>
      <c r="Q322" s="677"/>
      <c r="R322" s="677"/>
      <c r="S322" s="677"/>
    </row>
    <row r="323" spans="1:19">
      <c r="A323" s="541" t="s">
        <v>1461</v>
      </c>
      <c r="B323" s="541" t="s">
        <v>1462</v>
      </c>
      <c r="C323" s="650"/>
      <c r="D323" s="589"/>
      <c r="G323" t="s">
        <v>2343</v>
      </c>
      <c r="L323" s="677">
        <v>169564973</v>
      </c>
      <c r="P323" s="677"/>
      <c r="Q323" s="677"/>
      <c r="R323" s="677"/>
      <c r="S323" s="677"/>
    </row>
    <row r="324" spans="1:19">
      <c r="A324" s="541" t="s">
        <v>1463</v>
      </c>
      <c r="B324" s="541" t="s">
        <v>1464</v>
      </c>
      <c r="C324" s="650">
        <v>-1180302372</v>
      </c>
      <c r="D324" s="589">
        <f>+C324</f>
        <v>-1180302372</v>
      </c>
      <c r="G324" t="s">
        <v>2344</v>
      </c>
      <c r="L324" s="677"/>
      <c r="N324" s="677">
        <v>-183814040</v>
      </c>
      <c r="P324" s="677"/>
      <c r="Q324" s="677"/>
      <c r="R324" s="677"/>
      <c r="S324" s="677"/>
    </row>
    <row r="325" spans="1:19">
      <c r="A325" s="541" t="s">
        <v>1465</v>
      </c>
      <c r="B325" s="541" t="s">
        <v>1466</v>
      </c>
      <c r="C325" s="650">
        <v>-3407882</v>
      </c>
      <c r="D325" s="589">
        <f t="shared" ref="D325:D326" si="21">+C325</f>
        <v>-3407882</v>
      </c>
      <c r="G325" t="s">
        <v>2345</v>
      </c>
      <c r="L325" s="677">
        <v>-116532834</v>
      </c>
      <c r="P325" s="677"/>
      <c r="Q325" s="677"/>
      <c r="R325" s="677"/>
      <c r="S325" s="677"/>
    </row>
    <row r="326" spans="1:19">
      <c r="A326" s="541" t="s">
        <v>1467</v>
      </c>
      <c r="B326" s="541" t="s">
        <v>1468</v>
      </c>
      <c r="C326" s="650">
        <v>-78271840</v>
      </c>
      <c r="D326" s="589">
        <f t="shared" si="21"/>
        <v>-78271840</v>
      </c>
      <c r="G326" t="s">
        <v>2346</v>
      </c>
      <c r="L326" s="677">
        <v>-1271704</v>
      </c>
      <c r="P326" s="677"/>
      <c r="Q326" s="677"/>
      <c r="R326" s="677"/>
      <c r="S326" s="677"/>
    </row>
    <row r="327" spans="1:19">
      <c r="A327" s="541" t="s">
        <v>1461</v>
      </c>
      <c r="B327" s="541" t="s">
        <v>1462</v>
      </c>
      <c r="C327" s="660">
        <f>SUM(C324:C326)</f>
        <v>-1261982094</v>
      </c>
      <c r="D327" s="660">
        <f>SUM(D324:D326)</f>
        <v>-1261982094</v>
      </c>
      <c r="G327" t="s">
        <v>2347</v>
      </c>
      <c r="L327" s="677">
        <v>-66009502</v>
      </c>
      <c r="P327" s="677"/>
      <c r="Q327" s="677"/>
      <c r="R327" s="677"/>
      <c r="S327" s="677"/>
    </row>
    <row r="328" spans="1:19">
      <c r="A328" s="541" t="s">
        <v>1451</v>
      </c>
      <c r="B328" s="541" t="s">
        <v>1452</v>
      </c>
      <c r="C328" s="650">
        <f>+C322+C327</f>
        <v>407690001</v>
      </c>
      <c r="D328" s="650">
        <f>+D322+D327</f>
        <v>407690001</v>
      </c>
      <c r="L328" s="677"/>
      <c r="P328" s="677"/>
      <c r="Q328" s="677"/>
      <c r="R328" s="677"/>
      <c r="S328" s="677"/>
    </row>
    <row r="329" spans="1:19">
      <c r="A329" s="541" t="s">
        <v>1469</v>
      </c>
      <c r="B329" s="541" t="s">
        <v>1470</v>
      </c>
      <c r="C329" s="650"/>
      <c r="D329" s="589"/>
      <c r="L329" s="677"/>
      <c r="P329" s="677"/>
      <c r="Q329" s="677"/>
      <c r="R329" s="677"/>
      <c r="S329" s="677"/>
    </row>
    <row r="330" spans="1:19">
      <c r="A330" s="541" t="s">
        <v>1471</v>
      </c>
      <c r="B330" s="541" t="s">
        <v>1472</v>
      </c>
      <c r="C330" s="650"/>
      <c r="D330" s="589"/>
      <c r="L330" s="677"/>
      <c r="P330" s="677"/>
      <c r="Q330" s="677"/>
      <c r="R330" s="677"/>
      <c r="S330" s="677"/>
    </row>
    <row r="331" spans="1:19">
      <c r="A331" s="541" t="s">
        <v>1473</v>
      </c>
      <c r="B331" s="541" t="s">
        <v>1474</v>
      </c>
      <c r="C331" s="650">
        <v>104313241</v>
      </c>
      <c r="D331" s="589">
        <f>+C331</f>
        <v>104313241</v>
      </c>
      <c r="L331" s="677"/>
      <c r="P331" s="677"/>
      <c r="Q331" s="677"/>
      <c r="R331" s="677"/>
      <c r="S331" s="677"/>
    </row>
    <row r="332" spans="1:19">
      <c r="A332" s="541" t="s">
        <v>1475</v>
      </c>
      <c r="B332" s="541" t="s">
        <v>1476</v>
      </c>
      <c r="C332" s="650">
        <v>2276364</v>
      </c>
      <c r="D332" s="589">
        <f t="shared" ref="D332:D333" si="22">+C332</f>
        <v>2276364</v>
      </c>
      <c r="L332" s="677"/>
      <c r="P332" s="677"/>
      <c r="Q332" s="677"/>
      <c r="R332" s="677"/>
      <c r="S332" s="677"/>
    </row>
    <row r="333" spans="1:19">
      <c r="A333" s="541" t="s">
        <v>1477</v>
      </c>
      <c r="B333" s="541" t="s">
        <v>1478</v>
      </c>
      <c r="C333" s="651">
        <v>169564973</v>
      </c>
      <c r="D333" s="589">
        <f t="shared" si="22"/>
        <v>169564973</v>
      </c>
      <c r="L333" s="677"/>
      <c r="P333" s="677"/>
      <c r="Q333" s="677"/>
      <c r="R333" s="677"/>
      <c r="S333" s="677"/>
    </row>
    <row r="334" spans="1:19">
      <c r="A334" s="541" t="s">
        <v>1471</v>
      </c>
      <c r="B334" s="541" t="s">
        <v>1472</v>
      </c>
      <c r="C334" s="674">
        <f>SUM(C331:C333)</f>
        <v>276154578</v>
      </c>
      <c r="D334" s="674">
        <f>SUM(D331:D333)</f>
        <v>276154578</v>
      </c>
      <c r="L334" s="677"/>
      <c r="P334" s="677"/>
      <c r="Q334" s="677"/>
      <c r="R334" s="677"/>
      <c r="S334" s="677"/>
    </row>
    <row r="335" spans="1:19">
      <c r="A335" s="541" t="s">
        <v>1479</v>
      </c>
      <c r="B335" s="541" t="s">
        <v>1480</v>
      </c>
      <c r="C335" s="650"/>
      <c r="D335" s="589"/>
      <c r="L335" s="677"/>
      <c r="P335" s="677"/>
      <c r="Q335" s="677"/>
      <c r="R335" s="677"/>
      <c r="S335" s="677"/>
    </row>
    <row r="336" spans="1:19">
      <c r="A336" s="541" t="s">
        <v>1481</v>
      </c>
      <c r="B336" s="541" t="s">
        <v>1482</v>
      </c>
      <c r="C336" s="650">
        <v>-116532834</v>
      </c>
      <c r="D336" s="589">
        <f>+C336</f>
        <v>-116532834</v>
      </c>
      <c r="L336" s="677"/>
      <c r="P336" s="677"/>
      <c r="Q336" s="677"/>
      <c r="R336" s="677"/>
      <c r="S336" s="677"/>
    </row>
    <row r="337" spans="1:19">
      <c r="A337" s="541" t="s">
        <v>1483</v>
      </c>
      <c r="B337" s="541" t="s">
        <v>1484</v>
      </c>
      <c r="C337" s="650">
        <v>-1271704</v>
      </c>
      <c r="D337" s="589">
        <f t="shared" ref="D337:D338" si="23">+C337</f>
        <v>-1271704</v>
      </c>
      <c r="L337" s="677"/>
      <c r="P337" s="677"/>
      <c r="Q337" s="677"/>
      <c r="R337" s="677"/>
      <c r="S337" s="677"/>
    </row>
    <row r="338" spans="1:19">
      <c r="A338" s="541" t="s">
        <v>1485</v>
      </c>
      <c r="B338" s="541" t="s">
        <v>1486</v>
      </c>
      <c r="C338" s="650">
        <v>-66009502</v>
      </c>
      <c r="D338" s="589">
        <f t="shared" si="23"/>
        <v>-66009502</v>
      </c>
      <c r="L338" s="677"/>
      <c r="P338" s="677"/>
      <c r="Q338" s="677"/>
      <c r="R338" s="677"/>
      <c r="S338" s="677"/>
    </row>
    <row r="339" spans="1:19">
      <c r="A339" s="541" t="s">
        <v>1479</v>
      </c>
      <c r="B339" s="541" t="s">
        <v>1480</v>
      </c>
      <c r="C339" s="660">
        <f>SUM(C336:C338)</f>
        <v>-183814040</v>
      </c>
      <c r="D339" s="660">
        <f>SUM(D336:D338)</f>
        <v>-183814040</v>
      </c>
      <c r="L339" s="677"/>
      <c r="P339" s="677"/>
      <c r="Q339" s="677"/>
      <c r="R339" s="677"/>
      <c r="S339" s="677"/>
    </row>
    <row r="340" spans="1:19">
      <c r="A340" s="541" t="s">
        <v>1469</v>
      </c>
      <c r="B340" s="541" t="s">
        <v>1470</v>
      </c>
      <c r="C340" s="650">
        <f>+C334+C339</f>
        <v>92340538</v>
      </c>
      <c r="D340" s="650">
        <f>+D334+D339</f>
        <v>92340538</v>
      </c>
      <c r="L340" s="677"/>
      <c r="P340" s="677"/>
      <c r="Q340" s="677"/>
      <c r="R340" s="677"/>
      <c r="S340" s="677"/>
    </row>
    <row r="341" spans="1:19">
      <c r="A341" s="541" t="s">
        <v>1487</v>
      </c>
      <c r="B341" s="541" t="s">
        <v>1488</v>
      </c>
      <c r="C341" s="650"/>
      <c r="D341" s="589"/>
      <c r="G341" t="s">
        <v>2348</v>
      </c>
      <c r="L341" s="677"/>
      <c r="O341" s="677">
        <v>58757</v>
      </c>
      <c r="P341" s="677"/>
      <c r="Q341" s="677"/>
      <c r="R341" s="677"/>
      <c r="S341" s="677"/>
    </row>
    <row r="342" spans="1:19">
      <c r="A342" s="541" t="s">
        <v>1489</v>
      </c>
      <c r="B342" s="541" t="s">
        <v>1490</v>
      </c>
      <c r="C342" s="650"/>
      <c r="D342" s="589"/>
      <c r="G342" t="s">
        <v>2349</v>
      </c>
      <c r="L342" s="677"/>
      <c r="N342" s="677">
        <v>114546</v>
      </c>
      <c r="P342" s="677"/>
      <c r="Q342" s="677"/>
      <c r="R342" s="677"/>
      <c r="S342" s="677"/>
    </row>
    <row r="343" spans="1:19">
      <c r="A343" s="541" t="s">
        <v>1491</v>
      </c>
      <c r="B343" s="541" t="s">
        <v>1492</v>
      </c>
      <c r="C343" s="650">
        <v>114546</v>
      </c>
      <c r="D343" s="589">
        <f>+C343</f>
        <v>114546</v>
      </c>
      <c r="G343" t="s">
        <v>2350</v>
      </c>
      <c r="L343" s="677">
        <v>114546</v>
      </c>
      <c r="P343" s="677"/>
      <c r="Q343" s="677"/>
      <c r="R343" s="677"/>
      <c r="S343" s="677"/>
    </row>
    <row r="344" spans="1:19">
      <c r="A344" s="541" t="s">
        <v>1489</v>
      </c>
      <c r="B344" s="541" t="s">
        <v>1490</v>
      </c>
      <c r="C344" s="671">
        <f>+C343</f>
        <v>114546</v>
      </c>
      <c r="D344" s="671">
        <f>+D343</f>
        <v>114546</v>
      </c>
      <c r="G344" t="s">
        <v>2351</v>
      </c>
      <c r="L344" s="677"/>
      <c r="N344" s="677">
        <v>-55789</v>
      </c>
      <c r="P344" s="677"/>
      <c r="Q344" s="677"/>
      <c r="R344" s="677"/>
      <c r="S344" s="677"/>
    </row>
    <row r="345" spans="1:19">
      <c r="A345" s="541" t="s">
        <v>1493</v>
      </c>
      <c r="B345" s="541" t="s">
        <v>1494</v>
      </c>
      <c r="G345" t="s">
        <v>2352</v>
      </c>
      <c r="L345" s="677">
        <v>-55789</v>
      </c>
      <c r="P345" s="677"/>
      <c r="Q345" s="677"/>
      <c r="R345" s="677"/>
      <c r="S345" s="677"/>
    </row>
    <row r="346" spans="1:19">
      <c r="A346" s="541" t="s">
        <v>1495</v>
      </c>
      <c r="B346" s="541" t="s">
        <v>1496</v>
      </c>
      <c r="C346" s="651">
        <v>-55789</v>
      </c>
      <c r="D346" s="596">
        <f>+C346</f>
        <v>-55789</v>
      </c>
      <c r="G346" t="s">
        <v>2353</v>
      </c>
      <c r="L346" s="677"/>
      <c r="O346" s="677">
        <v>1269829</v>
      </c>
      <c r="P346" s="677"/>
      <c r="Q346" s="677"/>
      <c r="R346" s="677"/>
      <c r="S346" s="677"/>
    </row>
    <row r="347" spans="1:19">
      <c r="A347" s="541" t="s">
        <v>1493</v>
      </c>
      <c r="B347" s="541" t="s">
        <v>1494</v>
      </c>
      <c r="C347" s="673">
        <f>+C346</f>
        <v>-55789</v>
      </c>
      <c r="D347" s="673">
        <f>+D346</f>
        <v>-55789</v>
      </c>
      <c r="G347" t="s">
        <v>2354</v>
      </c>
      <c r="L347" s="677"/>
      <c r="N347" s="677">
        <v>3484666</v>
      </c>
      <c r="P347" s="677"/>
      <c r="Q347" s="677"/>
      <c r="R347" s="677"/>
      <c r="S347" s="677"/>
    </row>
    <row r="348" spans="1:19">
      <c r="A348" s="541" t="s">
        <v>1487</v>
      </c>
      <c r="B348" s="541" t="s">
        <v>1488</v>
      </c>
      <c r="C348" s="650">
        <f>+C344+C347</f>
        <v>58757</v>
      </c>
      <c r="D348" s="650">
        <f>+D344+D347</f>
        <v>58757</v>
      </c>
      <c r="G348" t="s">
        <v>2355</v>
      </c>
      <c r="L348" s="677">
        <v>3484666</v>
      </c>
      <c r="P348" s="677"/>
      <c r="Q348" s="677"/>
      <c r="R348" s="677"/>
      <c r="S348" s="677"/>
    </row>
    <row r="349" spans="1:19">
      <c r="A349" s="541" t="s">
        <v>1497</v>
      </c>
      <c r="B349" s="541" t="s">
        <v>1498</v>
      </c>
      <c r="G349" t="s">
        <v>2356</v>
      </c>
      <c r="L349" s="677"/>
      <c r="N349" s="677">
        <v>-2214837</v>
      </c>
      <c r="P349" s="677"/>
      <c r="Q349" s="677"/>
      <c r="R349" s="677"/>
      <c r="S349" s="677"/>
    </row>
    <row r="350" spans="1:19">
      <c r="A350" s="541" t="s">
        <v>1499</v>
      </c>
      <c r="B350" s="541" t="s">
        <v>1500</v>
      </c>
      <c r="C350" s="650"/>
      <c r="D350" s="589"/>
      <c r="G350" t="s">
        <v>2355</v>
      </c>
      <c r="L350" s="677">
        <v>-2214837</v>
      </c>
      <c r="P350" s="677"/>
      <c r="Q350" s="677"/>
      <c r="R350" s="677"/>
      <c r="S350" s="677"/>
    </row>
    <row r="351" spans="1:19">
      <c r="A351" s="541" t="s">
        <v>1501</v>
      </c>
      <c r="B351" s="541" t="s">
        <v>1502</v>
      </c>
      <c r="C351" s="653">
        <v>3484666</v>
      </c>
      <c r="D351" s="589">
        <f>+C351</f>
        <v>3484666</v>
      </c>
      <c r="G351" t="s">
        <v>2357</v>
      </c>
      <c r="L351" s="677"/>
      <c r="O351" s="677">
        <v>256430</v>
      </c>
      <c r="P351" s="677"/>
      <c r="Q351" s="677"/>
      <c r="R351" s="677"/>
      <c r="S351" s="677"/>
    </row>
    <row r="352" spans="1:19">
      <c r="A352" s="541" t="s">
        <v>1499</v>
      </c>
      <c r="B352" s="541" t="s">
        <v>1500</v>
      </c>
      <c r="C352" s="671">
        <f>+C351</f>
        <v>3484666</v>
      </c>
      <c r="D352" s="671">
        <f>+D351</f>
        <v>3484666</v>
      </c>
      <c r="G352" t="s">
        <v>2358</v>
      </c>
      <c r="L352" s="677"/>
      <c r="N352" s="677">
        <v>354614</v>
      </c>
      <c r="P352" s="677"/>
      <c r="Q352" s="677"/>
      <c r="R352" s="677"/>
      <c r="S352" s="677"/>
    </row>
    <row r="353" spans="1:19">
      <c r="A353" s="541" t="s">
        <v>1503</v>
      </c>
      <c r="B353" s="541" t="s">
        <v>1504</v>
      </c>
      <c r="G353" t="s">
        <v>2359</v>
      </c>
      <c r="L353" s="677">
        <v>354614</v>
      </c>
      <c r="P353" s="677"/>
      <c r="Q353" s="677"/>
      <c r="R353" s="677"/>
      <c r="S353" s="677"/>
    </row>
    <row r="354" spans="1:19">
      <c r="A354" s="541" t="s">
        <v>1505</v>
      </c>
      <c r="B354" s="541" t="s">
        <v>1502</v>
      </c>
      <c r="C354" s="651">
        <v>-2214837</v>
      </c>
      <c r="D354" s="596">
        <f>+C354</f>
        <v>-2214837</v>
      </c>
      <c r="G354" t="s">
        <v>2360</v>
      </c>
      <c r="L354" s="677"/>
      <c r="N354" s="677">
        <v>-98184</v>
      </c>
      <c r="P354" s="677"/>
      <c r="Q354" s="677"/>
      <c r="R354" s="677"/>
      <c r="S354" s="677"/>
    </row>
    <row r="355" spans="1:19">
      <c r="A355" s="541" t="s">
        <v>1503</v>
      </c>
      <c r="B355" s="541" t="s">
        <v>1504</v>
      </c>
      <c r="C355" s="673">
        <f>+C354</f>
        <v>-2214837</v>
      </c>
      <c r="D355" s="673">
        <f>+D354</f>
        <v>-2214837</v>
      </c>
      <c r="G355" t="s">
        <v>2361</v>
      </c>
      <c r="L355" s="677">
        <v>-98184</v>
      </c>
      <c r="P355" s="677"/>
      <c r="Q355" s="677"/>
      <c r="R355" s="677"/>
      <c r="S355" s="677"/>
    </row>
    <row r="356" spans="1:19">
      <c r="A356" s="541" t="s">
        <v>1497</v>
      </c>
      <c r="B356" s="541" t="s">
        <v>1498</v>
      </c>
      <c r="C356" s="650">
        <f>+C352+C355</f>
        <v>1269829</v>
      </c>
      <c r="D356" s="650">
        <f>+D352+D355</f>
        <v>1269829</v>
      </c>
      <c r="G356" t="s">
        <v>2362</v>
      </c>
      <c r="L356" s="677"/>
      <c r="O356" s="677">
        <v>2121759</v>
      </c>
      <c r="P356" s="677"/>
      <c r="Q356" s="677"/>
      <c r="R356" s="677"/>
      <c r="S356" s="677"/>
    </row>
    <row r="357" spans="1:19">
      <c r="A357" s="541" t="s">
        <v>1506</v>
      </c>
      <c r="B357" s="541" t="s">
        <v>1507</v>
      </c>
      <c r="L357" s="677"/>
      <c r="P357" s="677"/>
      <c r="Q357" s="677"/>
      <c r="R357" s="677"/>
      <c r="S357" s="677"/>
    </row>
    <row r="358" spans="1:19">
      <c r="A358" s="541" t="s">
        <v>1508</v>
      </c>
      <c r="B358" s="541" t="s">
        <v>1509</v>
      </c>
      <c r="C358" s="650"/>
      <c r="D358" s="589"/>
      <c r="L358" s="677"/>
      <c r="P358" s="677"/>
      <c r="Q358" s="677"/>
      <c r="R358" s="677"/>
      <c r="S358" s="677"/>
    </row>
    <row r="359" spans="1:19">
      <c r="A359" s="541" t="s">
        <v>1510</v>
      </c>
      <c r="B359" s="541" t="s">
        <v>1511</v>
      </c>
      <c r="C359" s="650"/>
      <c r="D359" s="589"/>
      <c r="L359" s="677"/>
      <c r="P359" s="677"/>
      <c r="Q359" s="677"/>
      <c r="R359" s="677"/>
      <c r="S359" s="677"/>
    </row>
    <row r="360" spans="1:19">
      <c r="A360" s="541" t="s">
        <v>1508</v>
      </c>
      <c r="B360" s="541" t="s">
        <v>1509</v>
      </c>
      <c r="C360" s="671"/>
      <c r="D360" s="589"/>
      <c r="L360" s="677"/>
      <c r="P360" s="677"/>
      <c r="Q360" s="677"/>
      <c r="R360" s="677"/>
      <c r="S360" s="677"/>
    </row>
    <row r="361" spans="1:19">
      <c r="A361" s="541" t="s">
        <v>1512</v>
      </c>
      <c r="B361" s="541" t="s">
        <v>1513</v>
      </c>
      <c r="L361" s="677"/>
      <c r="P361" s="677"/>
      <c r="Q361" s="677"/>
      <c r="R361" s="677"/>
      <c r="S361" s="677"/>
    </row>
    <row r="362" spans="1:19">
      <c r="A362" s="541" t="s">
        <v>1514</v>
      </c>
      <c r="B362" s="541" t="s">
        <v>1511</v>
      </c>
      <c r="L362" s="677"/>
      <c r="P362" s="677"/>
      <c r="Q362" s="677"/>
      <c r="R362" s="677"/>
      <c r="S362" s="677"/>
    </row>
    <row r="363" spans="1:19">
      <c r="A363" s="541" t="s">
        <v>1512</v>
      </c>
      <c r="B363" s="541" t="s">
        <v>1513</v>
      </c>
      <c r="C363" s="673"/>
      <c r="D363" s="589"/>
      <c r="L363" s="677"/>
      <c r="P363" s="677"/>
      <c r="Q363" s="677"/>
      <c r="R363" s="677"/>
      <c r="S363" s="677"/>
    </row>
    <row r="364" spans="1:19">
      <c r="A364" s="541" t="s">
        <v>1506</v>
      </c>
      <c r="B364" s="541" t="s">
        <v>1507</v>
      </c>
      <c r="C364" s="650"/>
      <c r="D364" s="589"/>
      <c r="L364" s="677"/>
      <c r="P364" s="677"/>
      <c r="Q364" s="677"/>
      <c r="R364" s="677"/>
      <c r="S364" s="677"/>
    </row>
    <row r="365" spans="1:19">
      <c r="A365" s="541" t="s">
        <v>1772</v>
      </c>
      <c r="B365" s="541" t="s">
        <v>1773</v>
      </c>
      <c r="L365" s="677"/>
      <c r="P365" s="677"/>
      <c r="Q365" s="677"/>
      <c r="R365" s="677"/>
      <c r="S365" s="677"/>
    </row>
    <row r="366" spans="1:19">
      <c r="A366" s="541" t="s">
        <v>1774</v>
      </c>
      <c r="B366" s="541" t="s">
        <v>1775</v>
      </c>
      <c r="C366" s="650"/>
      <c r="D366" s="589"/>
      <c r="L366" s="677"/>
      <c r="P366" s="677"/>
      <c r="Q366" s="677"/>
      <c r="R366" s="677"/>
      <c r="S366" s="677"/>
    </row>
    <row r="367" spans="1:19">
      <c r="A367" s="541" t="s">
        <v>1776</v>
      </c>
      <c r="B367" s="541" t="s">
        <v>1777</v>
      </c>
      <c r="C367" s="650">
        <v>354614</v>
      </c>
      <c r="D367" s="589">
        <f>+C367</f>
        <v>354614</v>
      </c>
      <c r="L367" s="677"/>
      <c r="P367" s="677"/>
      <c r="Q367" s="677"/>
      <c r="R367" s="677"/>
      <c r="S367" s="677"/>
    </row>
    <row r="368" spans="1:19">
      <c r="A368" s="541" t="s">
        <v>1774</v>
      </c>
      <c r="B368" s="541" t="s">
        <v>1775</v>
      </c>
      <c r="C368" s="671">
        <f>+C367</f>
        <v>354614</v>
      </c>
      <c r="D368" s="671">
        <f>+D367</f>
        <v>354614</v>
      </c>
      <c r="L368" s="677"/>
      <c r="P368" s="677"/>
      <c r="Q368" s="677"/>
      <c r="R368" s="677"/>
      <c r="S368" s="677"/>
    </row>
    <row r="369" spans="1:19">
      <c r="A369" s="541" t="s">
        <v>2018</v>
      </c>
      <c r="B369" s="541" t="s">
        <v>1847</v>
      </c>
      <c r="L369" s="677"/>
      <c r="P369" s="677"/>
      <c r="Q369" s="677"/>
      <c r="R369" s="677"/>
      <c r="S369" s="677"/>
    </row>
    <row r="370" spans="1:19">
      <c r="A370" s="541" t="s">
        <v>2019</v>
      </c>
      <c r="B370" s="541" t="s">
        <v>1848</v>
      </c>
      <c r="C370" s="651">
        <v>-98184</v>
      </c>
      <c r="D370" s="596">
        <f>+C370</f>
        <v>-98184</v>
      </c>
      <c r="L370" s="677"/>
      <c r="P370" s="677"/>
      <c r="Q370" s="677"/>
      <c r="R370" s="677"/>
      <c r="S370" s="677"/>
    </row>
    <row r="371" spans="1:19">
      <c r="A371" s="541" t="s">
        <v>2018</v>
      </c>
      <c r="B371" s="541" t="s">
        <v>1847</v>
      </c>
      <c r="C371" s="673">
        <f>+C370</f>
        <v>-98184</v>
      </c>
      <c r="D371" s="673">
        <f>+D370</f>
        <v>-98184</v>
      </c>
      <c r="G371" t="s">
        <v>2363</v>
      </c>
      <c r="L371" s="677"/>
      <c r="N371" s="677">
        <v>7409412</v>
      </c>
      <c r="P371" s="677"/>
      <c r="Q371" s="677"/>
      <c r="R371" s="677"/>
      <c r="S371" s="677"/>
    </row>
    <row r="372" spans="1:19">
      <c r="A372" s="541" t="s">
        <v>1772</v>
      </c>
      <c r="B372" s="541" t="s">
        <v>1773</v>
      </c>
      <c r="C372" s="650">
        <f>+C368+C371</f>
        <v>256430</v>
      </c>
      <c r="D372" s="650">
        <f>+D368+D371</f>
        <v>256430</v>
      </c>
      <c r="G372" t="s">
        <v>2364</v>
      </c>
      <c r="L372" s="677">
        <v>6621729</v>
      </c>
      <c r="P372" s="677"/>
      <c r="Q372" s="677"/>
      <c r="R372" s="677"/>
      <c r="S372" s="677"/>
    </row>
    <row r="373" spans="1:19">
      <c r="A373" s="541" t="s">
        <v>1523</v>
      </c>
      <c r="B373" s="541" t="s">
        <v>1524</v>
      </c>
      <c r="G373" t="s">
        <v>2365</v>
      </c>
      <c r="L373" s="677">
        <v>787683</v>
      </c>
      <c r="P373" s="677"/>
      <c r="Q373" s="677"/>
      <c r="R373" s="677"/>
      <c r="S373" s="677"/>
    </row>
    <row r="374" spans="1:19">
      <c r="A374" s="541" t="s">
        <v>1525</v>
      </c>
      <c r="B374" s="541" t="s">
        <v>1526</v>
      </c>
      <c r="C374" s="650"/>
      <c r="D374" s="589"/>
      <c r="G374" t="s">
        <v>2366</v>
      </c>
      <c r="L374" s="677">
        <v>-5287653</v>
      </c>
      <c r="P374" s="677"/>
      <c r="Q374" s="677"/>
      <c r="R374" s="677"/>
      <c r="S374" s="677"/>
    </row>
    <row r="375" spans="1:19">
      <c r="A375" s="541" t="s">
        <v>1527</v>
      </c>
      <c r="B375" s="541" t="s">
        <v>1528</v>
      </c>
      <c r="C375" s="650">
        <v>6621729</v>
      </c>
      <c r="D375" s="589">
        <f>+C375</f>
        <v>6621729</v>
      </c>
      <c r="G375" t="s">
        <v>2367</v>
      </c>
      <c r="L375" s="677">
        <v>-4938821</v>
      </c>
      <c r="P375" s="677"/>
      <c r="Q375" s="677"/>
      <c r="R375" s="677"/>
      <c r="S375" s="677"/>
    </row>
    <row r="376" spans="1:19">
      <c r="A376" s="541" t="s">
        <v>1529</v>
      </c>
      <c r="B376" s="541" t="s">
        <v>1530</v>
      </c>
      <c r="C376" s="650">
        <v>787683</v>
      </c>
      <c r="D376" s="589">
        <f>+C376</f>
        <v>787683</v>
      </c>
      <c r="G376" t="s">
        <v>2368</v>
      </c>
      <c r="L376" s="677">
        <v>-348832</v>
      </c>
      <c r="P376" s="677"/>
      <c r="Q376" s="677"/>
      <c r="R376" s="677"/>
      <c r="S376" s="677"/>
    </row>
    <row r="377" spans="1:19">
      <c r="A377" s="541" t="s">
        <v>1525</v>
      </c>
      <c r="B377" s="541" t="s">
        <v>1526</v>
      </c>
      <c r="C377" s="674">
        <f>SUM(C375:C376)</f>
        <v>7409412</v>
      </c>
      <c r="D377" s="674">
        <f>SUM(D375:D376)</f>
        <v>7409412</v>
      </c>
      <c r="G377" t="s">
        <v>2369</v>
      </c>
      <c r="L377" s="677"/>
      <c r="O377" s="677">
        <v>12538502</v>
      </c>
      <c r="P377" s="677"/>
      <c r="Q377" s="677"/>
      <c r="R377" s="677"/>
      <c r="S377" s="677">
        <v>2464706196</v>
      </c>
    </row>
    <row r="378" spans="1:19">
      <c r="A378" s="541" t="s">
        <v>1531</v>
      </c>
      <c r="B378" s="541" t="s">
        <v>1532</v>
      </c>
      <c r="G378" t="s">
        <v>2370</v>
      </c>
      <c r="L378" s="677"/>
      <c r="N378" s="677">
        <v>12538502</v>
      </c>
      <c r="P378" s="677"/>
      <c r="Q378" s="677"/>
      <c r="R378" s="677"/>
      <c r="S378" s="677"/>
    </row>
    <row r="379" spans="1:19">
      <c r="A379" s="541" t="s">
        <v>1533</v>
      </c>
      <c r="B379" s="541" t="s">
        <v>1534</v>
      </c>
      <c r="C379" s="650">
        <v>-4938821</v>
      </c>
      <c r="D379" s="589">
        <f>+C379</f>
        <v>-4938821</v>
      </c>
      <c r="G379" t="s">
        <v>2371</v>
      </c>
      <c r="L379" s="677">
        <v>8455471</v>
      </c>
      <c r="P379" s="677"/>
      <c r="Q379" s="677"/>
      <c r="R379" s="677"/>
      <c r="S379" s="677"/>
    </row>
    <row r="380" spans="1:19">
      <c r="A380" s="541" t="s">
        <v>1535</v>
      </c>
      <c r="B380" s="541" t="s">
        <v>1536</v>
      </c>
      <c r="C380" s="650">
        <v>-348832</v>
      </c>
      <c r="D380" s="589">
        <f>+C380</f>
        <v>-348832</v>
      </c>
      <c r="G380" t="s">
        <v>2372</v>
      </c>
      <c r="L380" s="677">
        <v>2086667</v>
      </c>
      <c r="P380" s="677"/>
      <c r="Q380" s="677"/>
      <c r="R380" s="677"/>
      <c r="S380" s="677"/>
    </row>
    <row r="381" spans="1:19">
      <c r="A381" s="541" t="s">
        <v>1531</v>
      </c>
      <c r="B381" s="541" t="s">
        <v>1532</v>
      </c>
      <c r="C381" s="673">
        <f>SUM(C379:C380)</f>
        <v>-5287653</v>
      </c>
      <c r="D381" s="673">
        <f>SUM(D379:D380)</f>
        <v>-5287653</v>
      </c>
      <c r="G381" t="s">
        <v>2373</v>
      </c>
      <c r="L381" s="677">
        <v>1996364</v>
      </c>
      <c r="P381" s="677"/>
      <c r="Q381" s="677"/>
      <c r="R381" s="677"/>
      <c r="S381" s="677"/>
    </row>
    <row r="382" spans="1:19">
      <c r="A382" s="541" t="s">
        <v>1523</v>
      </c>
      <c r="B382" s="541" t="s">
        <v>1524</v>
      </c>
      <c r="C382" s="651">
        <f>+C377+C381</f>
        <v>2121759</v>
      </c>
      <c r="D382" s="651">
        <f>+D377+D381</f>
        <v>2121759</v>
      </c>
      <c r="G382" t="s">
        <v>2374</v>
      </c>
      <c r="L382" s="677"/>
      <c r="O382" s="677">
        <v>99321818</v>
      </c>
      <c r="P382" s="677"/>
      <c r="Q382" s="677"/>
      <c r="R382" s="677"/>
      <c r="S382" s="677"/>
    </row>
    <row r="383" spans="1:19">
      <c r="A383" s="541" t="s">
        <v>1537</v>
      </c>
      <c r="B383" s="541" t="s">
        <v>1538</v>
      </c>
      <c r="C383" s="650"/>
      <c r="D383" s="589"/>
      <c r="G383" t="s">
        <v>2375</v>
      </c>
      <c r="L383" s="677"/>
      <c r="N383" s="677">
        <v>99321818</v>
      </c>
      <c r="P383" s="677"/>
      <c r="Q383" s="677"/>
      <c r="R383" s="677"/>
      <c r="S383" s="677"/>
    </row>
    <row r="384" spans="1:19">
      <c r="A384" s="541" t="s">
        <v>1539</v>
      </c>
      <c r="B384" s="541" t="s">
        <v>1540</v>
      </c>
      <c r="C384" s="650"/>
      <c r="D384" s="589"/>
      <c r="G384" t="s">
        <v>2376</v>
      </c>
      <c r="L384" s="677">
        <v>1000000</v>
      </c>
      <c r="P384" s="677"/>
      <c r="Q384" s="677"/>
      <c r="R384" s="677"/>
      <c r="S384" s="677"/>
    </row>
    <row r="385" spans="1:19">
      <c r="A385" s="541" t="s">
        <v>1541</v>
      </c>
      <c r="B385" s="541" t="s">
        <v>1542</v>
      </c>
      <c r="C385" s="650"/>
      <c r="D385" s="589"/>
      <c r="G385" t="s">
        <v>2377</v>
      </c>
      <c r="L385" s="677">
        <v>40990000</v>
      </c>
      <c r="P385" s="677"/>
      <c r="Q385" s="677"/>
      <c r="R385" s="677"/>
      <c r="S385" s="677"/>
    </row>
    <row r="386" spans="1:19">
      <c r="A386" s="541" t="s">
        <v>1543</v>
      </c>
      <c r="B386" s="541" t="s">
        <v>1544</v>
      </c>
      <c r="C386" s="650">
        <v>8455471</v>
      </c>
      <c r="D386" s="589">
        <f>+C386</f>
        <v>8455471</v>
      </c>
      <c r="G386" t="s">
        <v>2378</v>
      </c>
      <c r="L386" s="677">
        <v>31800000</v>
      </c>
      <c r="P386" s="677"/>
      <c r="Q386" s="677"/>
      <c r="R386" s="677"/>
      <c r="S386" s="677"/>
    </row>
    <row r="387" spans="1:19">
      <c r="A387" s="541" t="s">
        <v>1780</v>
      </c>
      <c r="B387" s="541" t="s">
        <v>1781</v>
      </c>
      <c r="C387" s="651">
        <v>2086667</v>
      </c>
      <c r="D387" s="589">
        <f t="shared" ref="D387:D388" si="24">+C387</f>
        <v>2086667</v>
      </c>
      <c r="G387" t="s">
        <v>2379</v>
      </c>
      <c r="L387" s="677">
        <v>12301818</v>
      </c>
      <c r="P387" s="677"/>
      <c r="Q387" s="677"/>
      <c r="R387" s="677"/>
      <c r="S387" s="677"/>
    </row>
    <row r="388" spans="1:19">
      <c r="A388" s="541" t="s">
        <v>2020</v>
      </c>
      <c r="B388" s="541" t="s">
        <v>1907</v>
      </c>
      <c r="C388" s="651">
        <v>1996364</v>
      </c>
      <c r="D388" s="589">
        <f t="shared" si="24"/>
        <v>1996364</v>
      </c>
      <c r="G388" t="s">
        <v>2380</v>
      </c>
      <c r="L388" s="677">
        <v>13230000</v>
      </c>
      <c r="P388" s="677"/>
      <c r="Q388" s="677"/>
      <c r="R388" s="677"/>
      <c r="S388" s="677"/>
    </row>
    <row r="389" spans="1:19">
      <c r="A389" s="541" t="s">
        <v>1539</v>
      </c>
      <c r="B389" s="541" t="s">
        <v>1540</v>
      </c>
      <c r="C389" s="674">
        <f>SUM(C386:C388)</f>
        <v>12538502</v>
      </c>
      <c r="D389" s="674">
        <f>SUM(D386:D388)</f>
        <v>12538502</v>
      </c>
      <c r="L389" s="677"/>
      <c r="P389" s="677"/>
      <c r="Q389" s="677"/>
      <c r="R389" s="677"/>
      <c r="S389" s="677"/>
    </row>
    <row r="390" spans="1:19">
      <c r="A390" s="541" t="s">
        <v>1537</v>
      </c>
      <c r="B390" s="541" t="s">
        <v>1538</v>
      </c>
      <c r="C390" s="650">
        <f>+C389</f>
        <v>12538502</v>
      </c>
      <c r="D390" s="589">
        <f>+D389</f>
        <v>12538502</v>
      </c>
      <c r="L390" s="677"/>
      <c r="P390" s="677"/>
      <c r="Q390" s="677"/>
      <c r="R390" s="677"/>
      <c r="S390" s="677"/>
    </row>
    <row r="391" spans="1:19">
      <c r="A391" s="541" t="s">
        <v>1548</v>
      </c>
      <c r="B391" s="541" t="s">
        <v>1549</v>
      </c>
      <c r="C391" s="650"/>
      <c r="D391" s="589"/>
      <c r="L391" s="677"/>
      <c r="P391" s="677"/>
      <c r="Q391" s="677"/>
      <c r="R391" s="677"/>
      <c r="S391" s="677"/>
    </row>
    <row r="392" spans="1:19">
      <c r="A392" s="541" t="s">
        <v>1550</v>
      </c>
      <c r="B392" s="541" t="s">
        <v>1551</v>
      </c>
      <c r="C392" s="650"/>
      <c r="D392" s="589"/>
      <c r="L392" s="677"/>
      <c r="P392" s="677"/>
      <c r="Q392" s="677"/>
      <c r="R392" s="677"/>
      <c r="S392" s="677"/>
    </row>
    <row r="393" spans="1:19">
      <c r="A393" s="541">
        <v>418001002</v>
      </c>
      <c r="B393" s="541" t="s">
        <v>1553</v>
      </c>
      <c r="C393" s="650">
        <v>1000000</v>
      </c>
      <c r="D393" s="589">
        <f>+C393</f>
        <v>1000000</v>
      </c>
      <c r="L393" s="677"/>
      <c r="P393" s="677"/>
      <c r="Q393" s="677"/>
      <c r="R393" s="677"/>
      <c r="S393" s="677"/>
    </row>
    <row r="394" spans="1:19">
      <c r="A394" s="541">
        <v>418001007</v>
      </c>
      <c r="B394" s="541" t="s">
        <v>1555</v>
      </c>
      <c r="C394" s="650">
        <v>40990000</v>
      </c>
      <c r="D394" s="589">
        <f t="shared" ref="D394:D400" si="25">+C394</f>
        <v>40990000</v>
      </c>
      <c r="L394" s="677"/>
      <c r="P394" s="677"/>
      <c r="Q394" s="677"/>
      <c r="R394" s="677"/>
      <c r="S394" s="677"/>
    </row>
    <row r="395" spans="1:19">
      <c r="A395" s="541">
        <v>418001008</v>
      </c>
      <c r="B395" s="541" t="s">
        <v>1557</v>
      </c>
      <c r="C395" s="651">
        <v>31800000</v>
      </c>
      <c r="D395" s="589">
        <f t="shared" si="25"/>
        <v>31800000</v>
      </c>
      <c r="L395" s="677"/>
      <c r="P395" s="677"/>
      <c r="Q395" s="677"/>
      <c r="R395" s="677"/>
      <c r="S395" s="677"/>
    </row>
    <row r="396" spans="1:19">
      <c r="A396" s="541">
        <v>418001009</v>
      </c>
      <c r="B396" s="541" t="s">
        <v>1783</v>
      </c>
      <c r="D396" s="589">
        <f t="shared" si="25"/>
        <v>0</v>
      </c>
      <c r="L396" s="677"/>
      <c r="P396" s="677"/>
      <c r="Q396" s="677"/>
      <c r="R396" s="677"/>
      <c r="S396" s="677"/>
    </row>
    <row r="397" spans="1:19">
      <c r="A397" s="541">
        <v>418001010</v>
      </c>
      <c r="B397" s="541" t="s">
        <v>1559</v>
      </c>
      <c r="C397" s="650">
        <v>12301818</v>
      </c>
      <c r="D397" s="589">
        <f t="shared" si="25"/>
        <v>12301818</v>
      </c>
      <c r="L397" s="677"/>
      <c r="P397" s="677"/>
      <c r="Q397" s="677"/>
      <c r="R397" s="677"/>
      <c r="S397" s="677"/>
    </row>
    <row r="398" spans="1:19">
      <c r="A398" s="541">
        <v>418001016</v>
      </c>
      <c r="B398" s="541" t="s">
        <v>1785</v>
      </c>
      <c r="C398" s="650"/>
      <c r="D398" s="589">
        <f t="shared" si="25"/>
        <v>0</v>
      </c>
      <c r="L398" s="677"/>
      <c r="P398" s="677"/>
      <c r="Q398" s="677"/>
      <c r="R398" s="677"/>
      <c r="S398" s="677"/>
    </row>
    <row r="399" spans="1:19">
      <c r="A399" s="541">
        <v>418001050</v>
      </c>
      <c r="B399" s="541" t="s">
        <v>1561</v>
      </c>
      <c r="C399" s="650">
        <v>13230000</v>
      </c>
      <c r="D399" s="589">
        <f t="shared" si="25"/>
        <v>13230000</v>
      </c>
      <c r="L399" s="677"/>
      <c r="P399" s="677"/>
      <c r="Q399" s="677"/>
      <c r="R399" s="677"/>
      <c r="S399" s="677"/>
    </row>
    <row r="400" spans="1:19">
      <c r="A400" s="541">
        <v>418001080</v>
      </c>
      <c r="B400" s="541" t="s">
        <v>1562</v>
      </c>
      <c r="C400" s="650"/>
      <c r="D400" s="589">
        <f t="shared" si="25"/>
        <v>0</v>
      </c>
      <c r="L400" s="677"/>
      <c r="P400" s="677"/>
      <c r="Q400" s="677"/>
      <c r="R400" s="677"/>
      <c r="S400" s="677"/>
    </row>
    <row r="401" spans="1:19">
      <c r="A401" s="541">
        <v>418001</v>
      </c>
      <c r="B401" s="541" t="s">
        <v>1551</v>
      </c>
      <c r="C401" s="671">
        <f>SUM(C393:C400)</f>
        <v>99321818</v>
      </c>
      <c r="D401" s="589">
        <f>SUM(D393:D400)</f>
        <v>99321818</v>
      </c>
      <c r="L401" s="677"/>
      <c r="P401" s="677"/>
      <c r="Q401" s="677"/>
      <c r="R401" s="677"/>
      <c r="S401" s="677"/>
    </row>
    <row r="402" spans="1:19">
      <c r="A402" s="541">
        <v>4180</v>
      </c>
      <c r="B402" s="541" t="s">
        <v>1549</v>
      </c>
      <c r="C402" s="650">
        <f>+C401</f>
        <v>99321818</v>
      </c>
      <c r="D402" s="589">
        <f>+D401</f>
        <v>99321818</v>
      </c>
      <c r="G402" t="s">
        <v>2381</v>
      </c>
      <c r="L402" s="677"/>
      <c r="P402" s="677"/>
      <c r="Q402" s="677"/>
      <c r="R402" s="677">
        <v>3860722</v>
      </c>
      <c r="S402" s="677"/>
    </row>
    <row r="403" spans="1:19">
      <c r="A403" s="541" t="s">
        <v>1563</v>
      </c>
      <c r="B403" s="541" t="s">
        <v>1564</v>
      </c>
      <c r="C403" s="650"/>
      <c r="D403" s="589"/>
      <c r="G403" t="s">
        <v>2382</v>
      </c>
      <c r="L403" s="677"/>
      <c r="O403" s="677">
        <v>3860722</v>
      </c>
      <c r="P403" s="677"/>
      <c r="Q403" s="677"/>
      <c r="R403" s="677"/>
      <c r="S403" s="677"/>
    </row>
    <row r="404" spans="1:19">
      <c r="A404" s="541" t="s">
        <v>1565</v>
      </c>
      <c r="B404" s="541" t="s">
        <v>1566</v>
      </c>
      <c r="C404" s="650"/>
      <c r="D404" s="589"/>
      <c r="G404" t="s">
        <v>2383</v>
      </c>
      <c r="L404" s="677"/>
      <c r="O404" s="677">
        <v>9263045</v>
      </c>
      <c r="P404" s="677"/>
      <c r="Q404" s="677"/>
      <c r="R404" s="677"/>
      <c r="S404" s="677"/>
    </row>
    <row r="405" spans="1:19">
      <c r="A405" s="541" t="s">
        <v>1567</v>
      </c>
      <c r="B405" s="541" t="s">
        <v>1568</v>
      </c>
      <c r="C405" s="650"/>
      <c r="D405" s="589"/>
      <c r="G405" t="s">
        <v>2384</v>
      </c>
      <c r="L405" s="677">
        <v>9263045</v>
      </c>
      <c r="P405" s="677"/>
      <c r="Q405" s="677"/>
      <c r="R405" s="677"/>
      <c r="S405" s="677"/>
    </row>
    <row r="406" spans="1:19">
      <c r="A406" s="541" t="s">
        <v>1565</v>
      </c>
      <c r="B406" s="541" t="s">
        <v>1566</v>
      </c>
      <c r="C406" s="650"/>
      <c r="D406" s="589"/>
      <c r="G406" t="s">
        <v>2385</v>
      </c>
      <c r="L406" s="677"/>
      <c r="N406" s="677">
        <v>-5402323</v>
      </c>
      <c r="P406" s="677"/>
      <c r="Q406" s="677"/>
      <c r="R406" s="677"/>
      <c r="S406" s="677"/>
    </row>
    <row r="407" spans="1:19">
      <c r="A407" s="541" t="s">
        <v>1563</v>
      </c>
      <c r="B407" s="541" t="s">
        <v>1564</v>
      </c>
      <c r="C407" s="674"/>
      <c r="G407" t="s">
        <v>2386</v>
      </c>
      <c r="L407" s="677">
        <v>-7402328</v>
      </c>
      <c r="P407" s="677"/>
      <c r="Q407" s="677"/>
      <c r="R407" s="677"/>
      <c r="S407" s="677"/>
    </row>
    <row r="408" spans="1:19">
      <c r="A408" s="541" t="s">
        <v>1398</v>
      </c>
      <c r="B408" s="541" t="s">
        <v>1399</v>
      </c>
      <c r="C408" s="651">
        <f>+C402+C390+C382+C372+C364+C356+C348+C340+C328+C316+C304+C292</f>
        <v>3560845474</v>
      </c>
      <c r="D408" s="651">
        <f>+D402+D390+D382+D372+D364+D356+D348+D340+D328+D316+D304+D292</f>
        <v>3560845474</v>
      </c>
      <c r="E408">
        <v>2460845474</v>
      </c>
      <c r="G408" t="s">
        <v>2387</v>
      </c>
      <c r="L408" s="677">
        <v>2000005</v>
      </c>
      <c r="P408" s="677"/>
      <c r="Q408" s="677"/>
      <c r="R408" s="677"/>
      <c r="S408" s="677"/>
    </row>
    <row r="409" spans="1:19">
      <c r="A409" s="541" t="s">
        <v>1569</v>
      </c>
      <c r="B409" s="541" t="s">
        <v>1570</v>
      </c>
      <c r="C409" s="650"/>
      <c r="D409" s="589"/>
      <c r="G409" t="s">
        <v>2388</v>
      </c>
      <c r="L409" s="677"/>
      <c r="P409" s="677"/>
      <c r="Q409" s="677"/>
      <c r="R409" s="677"/>
      <c r="S409" s="677"/>
    </row>
    <row r="410" spans="1:19">
      <c r="A410" s="541" t="s">
        <v>1571</v>
      </c>
      <c r="B410" s="541" t="s">
        <v>1572</v>
      </c>
      <c r="C410" s="650"/>
      <c r="D410" s="589"/>
      <c r="G410" t="s">
        <v>1579</v>
      </c>
      <c r="L410" s="677"/>
      <c r="P410" s="677"/>
      <c r="Q410" s="677"/>
      <c r="R410" s="677"/>
      <c r="S410" s="677"/>
    </row>
    <row r="411" spans="1:19">
      <c r="A411" s="541" t="s">
        <v>1786</v>
      </c>
      <c r="B411" s="541" t="s">
        <v>1787</v>
      </c>
      <c r="C411" s="650"/>
      <c r="D411" s="589"/>
      <c r="G411" t="s">
        <v>2389</v>
      </c>
      <c r="L411" s="677"/>
      <c r="P411" s="677"/>
      <c r="Q411" s="677"/>
      <c r="R411" s="677">
        <v>2697809577</v>
      </c>
      <c r="S411" s="677"/>
    </row>
    <row r="412" spans="1:19">
      <c r="A412" s="541" t="s">
        <v>1788</v>
      </c>
      <c r="B412" s="541" t="s">
        <v>1023</v>
      </c>
      <c r="C412" s="655"/>
      <c r="D412" s="589"/>
      <c r="G412" t="s">
        <v>2390</v>
      </c>
      <c r="L412" s="677"/>
      <c r="O412" s="677">
        <v>2507402539</v>
      </c>
      <c r="P412" s="677"/>
      <c r="Q412" s="677"/>
      <c r="R412" s="677"/>
      <c r="S412" s="677"/>
    </row>
    <row r="413" spans="1:19">
      <c r="A413" s="541" t="s">
        <v>2021</v>
      </c>
      <c r="B413" s="541" t="s">
        <v>1024</v>
      </c>
      <c r="C413" s="675">
        <v>9263045</v>
      </c>
      <c r="D413" s="596">
        <f>+C413</f>
        <v>9263045</v>
      </c>
      <c r="G413" t="s">
        <v>2391</v>
      </c>
      <c r="L413" s="677"/>
      <c r="N413" s="677">
        <v>859778821</v>
      </c>
      <c r="P413" s="677"/>
      <c r="Q413" s="677"/>
      <c r="R413" s="677"/>
      <c r="S413" s="677"/>
    </row>
    <row r="414" spans="1:19">
      <c r="A414" s="541" t="s">
        <v>1786</v>
      </c>
      <c r="B414" s="541" t="s">
        <v>1787</v>
      </c>
      <c r="C414" s="651">
        <f>+C413</f>
        <v>9263045</v>
      </c>
      <c r="D414" s="596">
        <f>+D413</f>
        <v>9263045</v>
      </c>
      <c r="L414" s="677"/>
      <c r="P414" s="677"/>
      <c r="Q414" s="677"/>
      <c r="R414" s="677"/>
      <c r="S414" s="677"/>
    </row>
    <row r="415" spans="1:19">
      <c r="A415" s="541" t="s">
        <v>1573</v>
      </c>
      <c r="B415" s="541" t="s">
        <v>1574</v>
      </c>
      <c r="L415" s="677"/>
      <c r="P415" s="677"/>
      <c r="Q415" s="677"/>
      <c r="R415" s="677"/>
      <c r="S415" s="677"/>
    </row>
    <row r="416" spans="1:19">
      <c r="A416" s="541" t="s">
        <v>1789</v>
      </c>
      <c r="B416" s="541" t="s">
        <v>1790</v>
      </c>
      <c r="C416" s="655">
        <v>-7402328</v>
      </c>
      <c r="D416" s="589">
        <v>-221358669</v>
      </c>
      <c r="L416" s="677"/>
      <c r="P416" s="677"/>
      <c r="Q416" s="677"/>
      <c r="R416" s="677"/>
      <c r="S416" s="677"/>
    </row>
    <row r="417" spans="1:19">
      <c r="A417" s="599">
        <v>440111031</v>
      </c>
      <c r="B417" s="599" t="s">
        <v>1575</v>
      </c>
      <c r="C417" s="655"/>
      <c r="D417" s="589">
        <v>-963663344</v>
      </c>
      <c r="L417" s="677"/>
      <c r="P417" s="677"/>
      <c r="Q417" s="677"/>
      <c r="R417" s="677"/>
      <c r="S417" s="677"/>
    </row>
    <row r="418" spans="1:19">
      <c r="A418" s="541" t="s">
        <v>1577</v>
      </c>
      <c r="B418" s="541" t="s">
        <v>1021</v>
      </c>
      <c r="C418" s="655"/>
      <c r="D418" s="589">
        <v>-1532779078</v>
      </c>
      <c r="L418" s="677"/>
      <c r="P418" s="677"/>
      <c r="Q418" s="677"/>
      <c r="R418" s="677"/>
      <c r="S418" s="677"/>
    </row>
    <row r="419" spans="1:19">
      <c r="A419" s="541" t="s">
        <v>1791</v>
      </c>
      <c r="B419" s="541" t="s">
        <v>1022</v>
      </c>
      <c r="C419" s="655"/>
      <c r="D419" s="589">
        <v>-57927817</v>
      </c>
      <c r="L419" s="677"/>
      <c r="P419" s="677"/>
      <c r="Q419" s="677"/>
      <c r="R419" s="677"/>
      <c r="S419" s="677"/>
    </row>
    <row r="420" spans="1:19">
      <c r="A420" s="541" t="s">
        <v>2022</v>
      </c>
      <c r="B420" s="541" t="s">
        <v>2023</v>
      </c>
      <c r="C420" s="675">
        <v>2000005</v>
      </c>
      <c r="D420" s="596">
        <v>-26183648</v>
      </c>
      <c r="L420" s="677"/>
      <c r="P420" s="677"/>
      <c r="Q420" s="677"/>
      <c r="R420" s="677"/>
      <c r="S420" s="677"/>
    </row>
    <row r="421" spans="1:19">
      <c r="A421" s="541" t="s">
        <v>1573</v>
      </c>
      <c r="B421" s="541" t="s">
        <v>1574</v>
      </c>
      <c r="C421" s="650">
        <f>SUM(C416:C420)</f>
        <v>-5402323</v>
      </c>
      <c r="D421" s="589">
        <v>-2801912556</v>
      </c>
      <c r="L421" s="677"/>
      <c r="P421" s="677"/>
      <c r="Q421" s="677"/>
      <c r="R421" s="677"/>
      <c r="S421" s="677"/>
    </row>
    <row r="422" spans="1:19">
      <c r="A422" s="541" t="s">
        <v>1571</v>
      </c>
      <c r="B422" s="541" t="s">
        <v>1572</v>
      </c>
      <c r="C422" s="650">
        <f>+C421+C414</f>
        <v>3860722</v>
      </c>
      <c r="D422" s="589">
        <v>-2811349937</v>
      </c>
      <c r="L422" s="677"/>
      <c r="P422" s="677"/>
      <c r="Q422" s="677"/>
      <c r="R422" s="677"/>
      <c r="S422" s="677"/>
    </row>
    <row r="423" spans="1:19">
      <c r="A423" s="541" t="s">
        <v>1569</v>
      </c>
      <c r="B423" s="541" t="s">
        <v>1570</v>
      </c>
      <c r="C423" s="650">
        <f>+C422</f>
        <v>3860722</v>
      </c>
      <c r="D423" s="589">
        <v>-2811349937</v>
      </c>
      <c r="L423" s="677"/>
      <c r="P423" s="677"/>
      <c r="Q423" s="677"/>
      <c r="R423" s="677"/>
      <c r="S423" s="677"/>
    </row>
    <row r="424" spans="1:19">
      <c r="A424" s="541" t="s">
        <v>1396</v>
      </c>
      <c r="B424" s="541" t="s">
        <v>1397</v>
      </c>
      <c r="C424" s="650">
        <f>+C408+C423</f>
        <v>3564706196</v>
      </c>
      <c r="D424" s="589">
        <v>-16070396474</v>
      </c>
      <c r="L424" s="677"/>
      <c r="P424" s="677"/>
      <c r="Q424" s="677"/>
      <c r="R424" s="677"/>
      <c r="S424" s="677"/>
    </row>
    <row r="425" spans="1:19">
      <c r="A425" s="541" t="s">
        <v>1578</v>
      </c>
      <c r="B425" s="541" t="s">
        <v>1579</v>
      </c>
      <c r="C425" s="650"/>
      <c r="D425" s="589"/>
      <c r="L425" s="677"/>
      <c r="P425" s="677"/>
      <c r="Q425" s="677"/>
      <c r="R425" s="677"/>
      <c r="S425" s="677"/>
    </row>
    <row r="426" spans="1:19">
      <c r="A426" s="541" t="s">
        <v>1580</v>
      </c>
      <c r="B426" s="541" t="s">
        <v>1581</v>
      </c>
      <c r="C426" s="650"/>
      <c r="D426" s="589"/>
      <c r="L426" s="677"/>
      <c r="P426" s="677"/>
      <c r="Q426" s="677"/>
      <c r="R426" s="677"/>
      <c r="S426" s="677"/>
    </row>
    <row r="427" spans="1:19">
      <c r="A427" s="541" t="s">
        <v>1582</v>
      </c>
      <c r="B427" s="541" t="s">
        <v>1583</v>
      </c>
      <c r="C427" s="650"/>
      <c r="D427" s="589"/>
      <c r="L427" s="677"/>
      <c r="P427" s="677"/>
      <c r="Q427" s="677"/>
      <c r="R427" s="677"/>
      <c r="S427" s="677"/>
    </row>
    <row r="428" spans="1:19">
      <c r="A428" s="541" t="s">
        <v>1584</v>
      </c>
      <c r="B428" s="541" t="s">
        <v>1585</v>
      </c>
      <c r="C428" s="650"/>
      <c r="D428" s="589"/>
      <c r="L428" s="677"/>
      <c r="P428" s="677"/>
      <c r="Q428" s="677"/>
      <c r="R428" s="677"/>
      <c r="S428" s="677"/>
    </row>
    <row r="429" spans="1:19">
      <c r="A429" s="541" t="s">
        <v>1586</v>
      </c>
      <c r="B429" s="541" t="s">
        <v>1587</v>
      </c>
      <c r="C429" s="651">
        <v>313934340</v>
      </c>
      <c r="D429" s="596">
        <v>1173317188</v>
      </c>
      <c r="L429" s="677"/>
      <c r="P429" s="677"/>
      <c r="Q429" s="677"/>
      <c r="R429" s="677"/>
      <c r="S429" s="677"/>
    </row>
    <row r="430" spans="1:19">
      <c r="A430" s="541"/>
      <c r="B430" s="541" t="s">
        <v>2393</v>
      </c>
      <c r="C430" s="651">
        <v>4824672</v>
      </c>
      <c r="L430" s="677"/>
      <c r="P430" s="677"/>
      <c r="Q430" s="677"/>
      <c r="R430" s="677"/>
      <c r="S430" s="677"/>
    </row>
    <row r="431" spans="1:19">
      <c r="A431" s="541"/>
      <c r="B431" s="541" t="s">
        <v>2394</v>
      </c>
      <c r="C431" s="651">
        <v>53915592</v>
      </c>
      <c r="L431" s="677"/>
      <c r="P431" s="677"/>
      <c r="Q431" s="677"/>
      <c r="R431" s="677"/>
      <c r="S431" s="677"/>
    </row>
    <row r="432" spans="1:19">
      <c r="A432" s="541"/>
      <c r="B432" s="541" t="s">
        <v>2395</v>
      </c>
      <c r="C432" s="651">
        <v>26161194</v>
      </c>
      <c r="L432" s="677"/>
      <c r="P432" s="677"/>
      <c r="Q432" s="677"/>
      <c r="R432" s="677"/>
      <c r="S432" s="677"/>
    </row>
    <row r="433" spans="1:19">
      <c r="A433" s="541" t="s">
        <v>1860</v>
      </c>
      <c r="B433" s="541" t="s">
        <v>1861</v>
      </c>
      <c r="D433" s="596">
        <v>513636</v>
      </c>
      <c r="G433" t="s">
        <v>2392</v>
      </c>
      <c r="L433" s="677">
        <v>313934340</v>
      </c>
      <c r="P433" s="677"/>
      <c r="Q433" s="677"/>
      <c r="R433" s="677"/>
      <c r="S433" s="677"/>
    </row>
    <row r="434" spans="1:19">
      <c r="A434" s="541" t="s">
        <v>1862</v>
      </c>
      <c r="B434" s="541" t="s">
        <v>1863</v>
      </c>
      <c r="C434" s="651">
        <v>11591066</v>
      </c>
      <c r="D434" s="596">
        <v>9274275</v>
      </c>
      <c r="G434" t="s">
        <v>2393</v>
      </c>
      <c r="L434" s="677">
        <v>4824672</v>
      </c>
      <c r="P434" s="677"/>
      <c r="Q434" s="677"/>
      <c r="R434" s="677"/>
      <c r="S434" s="677"/>
    </row>
    <row r="435" spans="1:19">
      <c r="A435" s="541" t="s">
        <v>1864</v>
      </c>
      <c r="B435" s="541" t="s">
        <v>1865</v>
      </c>
      <c r="C435" s="651">
        <v>13808793</v>
      </c>
      <c r="D435" s="596">
        <v>449393535</v>
      </c>
      <c r="G435" t="s">
        <v>2394</v>
      </c>
      <c r="L435" s="677">
        <v>53915592</v>
      </c>
      <c r="P435" s="677"/>
      <c r="Q435" s="677"/>
      <c r="R435" s="677"/>
      <c r="S435" s="677"/>
    </row>
    <row r="436" spans="1:19">
      <c r="A436" s="541" t="s">
        <v>1593</v>
      </c>
      <c r="B436" s="541" t="s">
        <v>1594</v>
      </c>
      <c r="C436" s="650">
        <v>73270783</v>
      </c>
      <c r="D436" s="589">
        <v>284126230</v>
      </c>
      <c r="G436" t="s">
        <v>2395</v>
      </c>
      <c r="L436" s="677">
        <v>26161194</v>
      </c>
      <c r="P436" s="677"/>
      <c r="Q436" s="677"/>
      <c r="R436" s="677"/>
      <c r="S436" s="677"/>
    </row>
    <row r="437" spans="1:19">
      <c r="A437" s="541" t="s">
        <v>1595</v>
      </c>
      <c r="B437" s="541" t="s">
        <v>1596</v>
      </c>
      <c r="C437" s="650"/>
      <c r="D437" s="589">
        <v>12372288</v>
      </c>
      <c r="G437" t="s">
        <v>2396</v>
      </c>
      <c r="L437" s="677">
        <v>11591066</v>
      </c>
      <c r="P437" s="677"/>
      <c r="Q437" s="677"/>
      <c r="R437" s="677"/>
      <c r="S437" s="677"/>
    </row>
    <row r="438" spans="1:19">
      <c r="A438" s="541" t="s">
        <v>1597</v>
      </c>
      <c r="B438" s="541" t="s">
        <v>1598</v>
      </c>
      <c r="C438" s="650">
        <v>29059548</v>
      </c>
      <c r="D438" s="589">
        <v>175152587</v>
      </c>
      <c r="G438" t="s">
        <v>2397</v>
      </c>
      <c r="L438" s="677">
        <v>13808793</v>
      </c>
      <c r="P438" s="677"/>
      <c r="Q438" s="677"/>
      <c r="R438" s="677"/>
      <c r="S438" s="677"/>
    </row>
    <row r="439" spans="1:19">
      <c r="A439" s="541" t="s">
        <v>1599</v>
      </c>
      <c r="B439" s="541" t="s">
        <v>1600</v>
      </c>
      <c r="C439" s="650">
        <v>26312500</v>
      </c>
      <c r="D439" s="589">
        <v>138125067</v>
      </c>
      <c r="G439" t="s">
        <v>2398</v>
      </c>
      <c r="L439" s="677">
        <v>73270783</v>
      </c>
      <c r="P439" s="677"/>
      <c r="Q439" s="677"/>
      <c r="R439" s="677"/>
      <c r="S439" s="677"/>
    </row>
    <row r="440" spans="1:19">
      <c r="A440" s="541"/>
      <c r="B440" s="541" t="s">
        <v>2401</v>
      </c>
      <c r="C440" s="650">
        <v>4836109</v>
      </c>
      <c r="D440" s="589"/>
      <c r="G440" t="s">
        <v>2399</v>
      </c>
      <c r="L440" s="677">
        <v>29059548</v>
      </c>
      <c r="P440" s="677"/>
      <c r="Q440" s="677"/>
      <c r="R440" s="677"/>
      <c r="S440" s="677"/>
    </row>
    <row r="441" spans="1:19">
      <c r="A441" s="541"/>
      <c r="B441" s="541" t="s">
        <v>2402</v>
      </c>
      <c r="C441" s="650">
        <v>19868</v>
      </c>
      <c r="D441" s="589"/>
      <c r="G441" t="s">
        <v>2400</v>
      </c>
      <c r="L441" s="677">
        <v>26312500</v>
      </c>
      <c r="P441" s="677"/>
      <c r="Q441" s="677"/>
      <c r="R441" s="677"/>
      <c r="S441" s="677"/>
    </row>
    <row r="442" spans="1:19">
      <c r="A442" s="541" t="s">
        <v>1793</v>
      </c>
      <c r="B442" s="541" t="s">
        <v>1794</v>
      </c>
      <c r="C442" s="650">
        <v>160629995</v>
      </c>
      <c r="D442" s="589">
        <v>831319413</v>
      </c>
      <c r="G442" t="s">
        <v>2401</v>
      </c>
      <c r="L442" s="677">
        <v>4836109</v>
      </c>
      <c r="P442" s="677"/>
      <c r="Q442" s="677"/>
      <c r="R442" s="677"/>
      <c r="S442" s="677"/>
    </row>
    <row r="443" spans="1:19">
      <c r="A443" s="541" t="s">
        <v>1602</v>
      </c>
      <c r="B443" s="541" t="s">
        <v>1603</v>
      </c>
      <c r="C443" s="650">
        <v>13004546</v>
      </c>
      <c r="D443" s="589">
        <v>72076589</v>
      </c>
      <c r="G443" t="s">
        <v>2402</v>
      </c>
      <c r="L443" s="677">
        <v>19868</v>
      </c>
      <c r="P443" s="677"/>
      <c r="Q443" s="677"/>
      <c r="R443" s="677"/>
      <c r="S443" s="677"/>
    </row>
    <row r="444" spans="1:19">
      <c r="A444" s="541" t="s">
        <v>1604</v>
      </c>
      <c r="B444" s="541" t="s">
        <v>1605</v>
      </c>
      <c r="C444" s="650">
        <v>1352820</v>
      </c>
      <c r="D444" s="589">
        <v>8460625</v>
      </c>
      <c r="G444" t="s">
        <v>2403</v>
      </c>
      <c r="L444" s="677">
        <v>160629995</v>
      </c>
      <c r="P444" s="677"/>
      <c r="Q444" s="677"/>
      <c r="R444" s="677"/>
      <c r="S444" s="677"/>
    </row>
    <row r="445" spans="1:19">
      <c r="A445" s="541" t="s">
        <v>1795</v>
      </c>
      <c r="B445" s="541" t="s">
        <v>1796</v>
      </c>
      <c r="C445" s="650">
        <v>15800342</v>
      </c>
      <c r="D445" s="589">
        <v>62424652</v>
      </c>
      <c r="G445" t="s">
        <v>2404</v>
      </c>
      <c r="L445" s="677">
        <v>13004546</v>
      </c>
      <c r="P445" s="677"/>
      <c r="Q445" s="677"/>
      <c r="R445" s="677"/>
      <c r="S445" s="677"/>
    </row>
    <row r="446" spans="1:19">
      <c r="A446" s="541" t="s">
        <v>1866</v>
      </c>
      <c r="B446" s="541" t="s">
        <v>1867</v>
      </c>
      <c r="C446" s="650">
        <v>10613823</v>
      </c>
      <c r="D446" s="589">
        <v>34527434</v>
      </c>
      <c r="G446" t="s">
        <v>2405</v>
      </c>
      <c r="L446" s="677">
        <v>1352820</v>
      </c>
      <c r="P446" s="677"/>
      <c r="Q446" s="677"/>
      <c r="R446" s="677"/>
      <c r="S446" s="677"/>
    </row>
    <row r="447" spans="1:19">
      <c r="A447" s="541" t="s">
        <v>1606</v>
      </c>
      <c r="B447" s="541" t="s">
        <v>1607</v>
      </c>
      <c r="C447" s="650">
        <v>2378182</v>
      </c>
      <c r="D447" s="589">
        <v>15604947</v>
      </c>
      <c r="G447" t="s">
        <v>2406</v>
      </c>
      <c r="L447" s="677">
        <v>15800342</v>
      </c>
      <c r="P447" s="677"/>
      <c r="Q447" s="677"/>
      <c r="R447" s="677"/>
      <c r="S447" s="677"/>
    </row>
    <row r="448" spans="1:19">
      <c r="A448" s="541" t="s">
        <v>1608</v>
      </c>
      <c r="B448" s="541" t="s">
        <v>1609</v>
      </c>
      <c r="C448" s="650">
        <v>223636</v>
      </c>
      <c r="D448" s="589">
        <v>35686600</v>
      </c>
      <c r="G448" t="s">
        <v>2407</v>
      </c>
      <c r="L448" s="677">
        <v>10613823</v>
      </c>
      <c r="P448" s="677"/>
      <c r="Q448" s="677"/>
      <c r="R448" s="677"/>
      <c r="S448" s="677"/>
    </row>
    <row r="449" spans="1:19">
      <c r="A449" s="541" t="s">
        <v>1610</v>
      </c>
      <c r="B449" s="541" t="s">
        <v>1611</v>
      </c>
      <c r="C449" s="650">
        <v>5131231</v>
      </c>
      <c r="D449" s="589">
        <v>16038529</v>
      </c>
      <c r="G449" t="s">
        <v>2408</v>
      </c>
      <c r="L449" s="677">
        <v>2378182</v>
      </c>
      <c r="P449" s="677"/>
      <c r="Q449" s="677"/>
      <c r="R449" s="677"/>
      <c r="S449" s="677"/>
    </row>
    <row r="450" spans="1:19">
      <c r="A450" s="541" t="s">
        <v>1612</v>
      </c>
      <c r="B450" s="541" t="s">
        <v>1613</v>
      </c>
      <c r="C450" s="650">
        <v>18447823</v>
      </c>
      <c r="D450" s="589">
        <v>70312355</v>
      </c>
      <c r="G450" t="s">
        <v>2409</v>
      </c>
      <c r="L450" s="677">
        <v>223636</v>
      </c>
      <c r="P450" s="677"/>
      <c r="Q450" s="677"/>
      <c r="R450" s="677"/>
      <c r="S450" s="677"/>
    </row>
    <row r="451" spans="1:19">
      <c r="A451" s="541" t="s">
        <v>1868</v>
      </c>
      <c r="B451" s="541" t="s">
        <v>1869</v>
      </c>
      <c r="C451" s="650"/>
      <c r="D451" s="589">
        <v>32954545</v>
      </c>
      <c r="G451" t="s">
        <v>2410</v>
      </c>
      <c r="L451" s="677">
        <v>5131231</v>
      </c>
      <c r="P451" s="677"/>
      <c r="Q451" s="677"/>
      <c r="R451" s="677"/>
      <c r="S451" s="677"/>
    </row>
    <row r="452" spans="1:19">
      <c r="A452" s="541" t="s">
        <v>1797</v>
      </c>
      <c r="B452" s="541" t="s">
        <v>1798</v>
      </c>
      <c r="C452" s="650"/>
      <c r="D452" s="589">
        <v>10333991</v>
      </c>
      <c r="G452" t="s">
        <v>2411</v>
      </c>
      <c r="L452" s="677">
        <v>18447823</v>
      </c>
      <c r="P452" s="677"/>
      <c r="Q452" s="677"/>
      <c r="R452" s="677"/>
      <c r="S452" s="677"/>
    </row>
    <row r="453" spans="1:19">
      <c r="A453" s="541" t="s">
        <v>1616</v>
      </c>
      <c r="B453" s="541" t="s">
        <v>1617</v>
      </c>
      <c r="C453" s="650">
        <v>22424711</v>
      </c>
      <c r="D453" s="589">
        <v>8379877</v>
      </c>
      <c r="G453" t="s">
        <v>2412</v>
      </c>
      <c r="L453" s="677">
        <v>22424711</v>
      </c>
      <c r="P453" s="677"/>
      <c r="Q453" s="677"/>
      <c r="R453" s="677"/>
      <c r="S453" s="677"/>
    </row>
    <row r="454" spans="1:19">
      <c r="A454" s="541" t="s">
        <v>1870</v>
      </c>
      <c r="B454" s="541" t="s">
        <v>1639</v>
      </c>
      <c r="C454" s="650"/>
      <c r="D454" s="589">
        <v>2118183</v>
      </c>
      <c r="G454" t="s">
        <v>2413</v>
      </c>
      <c r="L454" s="677">
        <v>16364</v>
      </c>
      <c r="P454" s="677"/>
      <c r="Q454" s="677"/>
      <c r="R454" s="677"/>
      <c r="S454" s="677"/>
    </row>
    <row r="455" spans="1:19">
      <c r="A455" s="541" t="s">
        <v>1618</v>
      </c>
      <c r="B455" s="541" t="s">
        <v>1619</v>
      </c>
      <c r="C455" s="650">
        <v>16364</v>
      </c>
      <c r="D455" s="589">
        <v>12603836</v>
      </c>
      <c r="G455" t="s">
        <v>2414</v>
      </c>
      <c r="L455" s="677">
        <v>37950916</v>
      </c>
      <c r="P455" s="677"/>
      <c r="Q455" s="677"/>
      <c r="R455" s="677"/>
      <c r="S455" s="677"/>
    </row>
    <row r="456" spans="1:19">
      <c r="A456" s="541" t="s">
        <v>1620</v>
      </c>
      <c r="B456" s="541" t="s">
        <v>1621</v>
      </c>
      <c r="C456" s="650">
        <v>37950916</v>
      </c>
      <c r="D456" s="589">
        <v>102087292</v>
      </c>
      <c r="G456" t="s">
        <v>2415</v>
      </c>
      <c r="L456" s="677">
        <v>14069967</v>
      </c>
      <c r="P456" s="677"/>
      <c r="Q456" s="677"/>
      <c r="R456" s="677"/>
      <c r="S456" s="677"/>
    </row>
    <row r="457" spans="1:19">
      <c r="A457" s="541" t="s">
        <v>1622</v>
      </c>
      <c r="B457" s="541" t="s">
        <v>1623</v>
      </c>
      <c r="C457" s="650">
        <v>14069967</v>
      </c>
      <c r="D457" s="589">
        <v>71826092</v>
      </c>
      <c r="G457" t="s">
        <v>2416</v>
      </c>
      <c r="L457" s="677"/>
      <c r="N457" s="677">
        <v>68591161</v>
      </c>
      <c r="P457" s="677"/>
      <c r="Q457" s="677"/>
      <c r="R457" s="677"/>
      <c r="S457" s="677"/>
    </row>
    <row r="458" spans="1:19">
      <c r="A458" s="541" t="s">
        <v>1584</v>
      </c>
      <c r="B458" s="541" t="s">
        <v>1585</v>
      </c>
      <c r="C458" s="650">
        <f>SUM(C429:C457)</f>
        <v>859778821</v>
      </c>
      <c r="D458" s="589">
        <v>3629029766</v>
      </c>
      <c r="G458" t="s">
        <v>2417</v>
      </c>
      <c r="L458" s="677">
        <v>66503525</v>
      </c>
      <c r="P458" s="677"/>
      <c r="Q458" s="677"/>
      <c r="R458" s="677"/>
      <c r="S458" s="677"/>
    </row>
    <row r="459" spans="1:19">
      <c r="A459" s="541" t="s">
        <v>1871</v>
      </c>
      <c r="B459" s="541" t="s">
        <v>1872</v>
      </c>
      <c r="C459" s="650"/>
      <c r="D459" s="589"/>
      <c r="G459" t="s">
        <v>2418</v>
      </c>
      <c r="L459" s="677">
        <v>2087636</v>
      </c>
      <c r="P459" s="677"/>
      <c r="Q459" s="677"/>
      <c r="R459" s="677"/>
      <c r="S459" s="677"/>
    </row>
    <row r="460" spans="1:19">
      <c r="A460" s="541" t="s">
        <v>1873</v>
      </c>
      <c r="B460" s="541" t="s">
        <v>1874</v>
      </c>
      <c r="C460" s="650">
        <v>66503525</v>
      </c>
      <c r="D460" s="589">
        <v>29868184</v>
      </c>
      <c r="G460" t="s">
        <v>2419</v>
      </c>
      <c r="L460" s="677"/>
      <c r="N460" s="677">
        <v>1554113776</v>
      </c>
      <c r="P460" s="677"/>
      <c r="Q460" s="677"/>
      <c r="R460" s="677"/>
      <c r="S460" s="677"/>
    </row>
    <row r="461" spans="1:19">
      <c r="A461" s="541"/>
      <c r="B461" s="541" t="s">
        <v>2418</v>
      </c>
      <c r="C461" s="650">
        <v>2087636</v>
      </c>
      <c r="D461" s="589"/>
      <c r="G461" t="s">
        <v>2420</v>
      </c>
      <c r="L461" s="677">
        <v>40909095</v>
      </c>
      <c r="P461" s="677"/>
      <c r="Q461" s="677"/>
      <c r="R461" s="677"/>
      <c r="S461" s="677"/>
    </row>
    <row r="462" spans="1:19">
      <c r="A462" s="541" t="s">
        <v>1875</v>
      </c>
      <c r="B462" s="541" t="s">
        <v>1663</v>
      </c>
      <c r="C462" s="650"/>
      <c r="D462" s="589">
        <v>939091</v>
      </c>
      <c r="G462" t="s">
        <v>2421</v>
      </c>
      <c r="L462" s="677">
        <v>292422172</v>
      </c>
      <c r="P462" s="677"/>
      <c r="Q462" s="677"/>
      <c r="R462" s="677"/>
      <c r="S462" s="677"/>
    </row>
    <row r="463" spans="1:19">
      <c r="A463" s="541" t="s">
        <v>1871</v>
      </c>
      <c r="B463" s="541" t="s">
        <v>1872</v>
      </c>
      <c r="C463" s="650">
        <f>SUM(C460:C462)</f>
        <v>68591161</v>
      </c>
      <c r="D463" s="589">
        <v>30807275</v>
      </c>
      <c r="G463" t="s">
        <v>2422</v>
      </c>
      <c r="L463" s="677">
        <v>1683298</v>
      </c>
      <c r="P463" s="677"/>
      <c r="Q463" s="677"/>
      <c r="R463" s="677"/>
      <c r="S463" s="677"/>
    </row>
    <row r="464" spans="1:19">
      <c r="A464" s="541" t="s">
        <v>1625</v>
      </c>
      <c r="B464" s="541" t="s">
        <v>1626</v>
      </c>
      <c r="G464" t="s">
        <v>2393</v>
      </c>
      <c r="L464" s="677">
        <v>4422618</v>
      </c>
      <c r="P464" s="677"/>
      <c r="Q464" s="677"/>
      <c r="R464" s="677"/>
      <c r="S464" s="677"/>
    </row>
    <row r="465" spans="1:19">
      <c r="A465" s="541" t="s">
        <v>1627</v>
      </c>
      <c r="B465" s="541" t="s">
        <v>1628</v>
      </c>
      <c r="C465" s="650">
        <v>40909095</v>
      </c>
      <c r="D465" s="589">
        <v>163636380</v>
      </c>
      <c r="G465" t="s">
        <v>2394</v>
      </c>
      <c r="L465" s="677">
        <v>72637263</v>
      </c>
      <c r="P465" s="677"/>
      <c r="Q465" s="677"/>
      <c r="R465" s="677"/>
      <c r="S465" s="677"/>
    </row>
    <row r="466" spans="1:19">
      <c r="A466" s="541" t="s">
        <v>1629</v>
      </c>
      <c r="B466" s="541" t="s">
        <v>1630</v>
      </c>
      <c r="C466" s="650">
        <v>292422172</v>
      </c>
      <c r="D466" s="589">
        <v>1206563334</v>
      </c>
      <c r="G466" t="s">
        <v>2423</v>
      </c>
      <c r="L466" s="677">
        <v>37754388</v>
      </c>
      <c r="P466" s="677"/>
      <c r="Q466" s="677"/>
      <c r="R466" s="677"/>
      <c r="S466" s="677"/>
    </row>
    <row r="467" spans="1:19">
      <c r="A467" s="541"/>
      <c r="B467" s="541" t="s">
        <v>2422</v>
      </c>
      <c r="C467" s="650">
        <v>1683298</v>
      </c>
      <c r="D467" s="589"/>
      <c r="G467" t="s">
        <v>2424</v>
      </c>
      <c r="L467" s="677">
        <v>734686435</v>
      </c>
      <c r="P467" s="677"/>
      <c r="Q467" s="677"/>
      <c r="R467" s="677"/>
      <c r="S467" s="677"/>
    </row>
    <row r="468" spans="1:19">
      <c r="A468" s="541" t="s">
        <v>1631</v>
      </c>
      <c r="B468" s="541" t="s">
        <v>1589</v>
      </c>
      <c r="C468" s="650">
        <v>4422618</v>
      </c>
      <c r="D468" s="589">
        <v>35079815</v>
      </c>
      <c r="G468" t="s">
        <v>2425</v>
      </c>
      <c r="L468" s="677">
        <v>889559</v>
      </c>
      <c r="P468" s="677"/>
      <c r="Q468" s="677"/>
      <c r="R468" s="677"/>
      <c r="S468" s="677"/>
    </row>
    <row r="469" spans="1:19">
      <c r="A469" s="541">
        <v>520111051</v>
      </c>
      <c r="B469" s="541" t="s">
        <v>1013</v>
      </c>
      <c r="C469" s="650"/>
      <c r="D469" s="589">
        <v>2680374</v>
      </c>
      <c r="G469" t="s">
        <v>2426</v>
      </c>
      <c r="L469" s="677">
        <v>570018</v>
      </c>
      <c r="P469" s="677"/>
      <c r="Q469" s="677"/>
      <c r="R469" s="677"/>
      <c r="S469" s="677"/>
    </row>
    <row r="470" spans="1:19">
      <c r="A470" s="541" t="s">
        <v>1876</v>
      </c>
      <c r="B470" s="541" t="s">
        <v>1014</v>
      </c>
      <c r="C470" s="651">
        <v>72637263</v>
      </c>
      <c r="D470" s="596">
        <v>531256508</v>
      </c>
      <c r="G470" t="s">
        <v>2427</v>
      </c>
      <c r="L470" s="677">
        <v>627998</v>
      </c>
      <c r="P470" s="677"/>
      <c r="Q470" s="677"/>
      <c r="R470" s="677"/>
      <c r="S470" s="677"/>
    </row>
    <row r="471" spans="1:19">
      <c r="A471" s="541" t="s">
        <v>1877</v>
      </c>
      <c r="B471" s="541" t="s">
        <v>1015</v>
      </c>
      <c r="C471" s="650"/>
      <c r="D471" s="589">
        <v>5856101</v>
      </c>
      <c r="G471" t="s">
        <v>2428</v>
      </c>
      <c r="L471" s="677">
        <v>69355641</v>
      </c>
      <c r="P471" s="677"/>
      <c r="Q471" s="677"/>
      <c r="R471" s="677"/>
      <c r="S471" s="677"/>
    </row>
    <row r="472" spans="1:19">
      <c r="A472" s="541" t="s">
        <v>1878</v>
      </c>
      <c r="B472" s="541" t="s">
        <v>1016</v>
      </c>
      <c r="C472" s="650">
        <v>37754388</v>
      </c>
      <c r="D472" s="589">
        <v>267599994</v>
      </c>
      <c r="G472" t="s">
        <v>2429</v>
      </c>
      <c r="L472" s="677">
        <v>1267000</v>
      </c>
      <c r="P472" s="677"/>
      <c r="Q472" s="677"/>
      <c r="R472" s="677"/>
      <c r="S472" s="677"/>
    </row>
    <row r="473" spans="1:19">
      <c r="A473" s="541" t="s">
        <v>1632</v>
      </c>
      <c r="B473" s="541" t="s">
        <v>1633</v>
      </c>
      <c r="C473" s="650">
        <v>734686435</v>
      </c>
      <c r="D473" s="589">
        <v>2278299195</v>
      </c>
      <c r="G473" t="s">
        <v>2430</v>
      </c>
      <c r="L473" s="677">
        <v>4174698</v>
      </c>
      <c r="P473" s="677"/>
      <c r="Q473" s="677"/>
      <c r="R473" s="677"/>
      <c r="S473" s="677"/>
    </row>
    <row r="474" spans="1:19">
      <c r="A474" s="541" t="s">
        <v>1634</v>
      </c>
      <c r="B474" s="541" t="s">
        <v>1635</v>
      </c>
      <c r="C474" s="650">
        <v>889559</v>
      </c>
      <c r="D474" s="589">
        <v>3442202</v>
      </c>
      <c r="G474" t="s">
        <v>2431</v>
      </c>
      <c r="L474" s="677">
        <v>37405232</v>
      </c>
      <c r="P474" s="677"/>
      <c r="Q474" s="677"/>
      <c r="R474" s="677"/>
      <c r="S474" s="677"/>
    </row>
    <row r="475" spans="1:19">
      <c r="A475" s="541" t="s">
        <v>1636</v>
      </c>
      <c r="B475" s="541" t="s">
        <v>1637</v>
      </c>
      <c r="C475" s="650">
        <v>570018</v>
      </c>
      <c r="D475" s="589">
        <v>9600876</v>
      </c>
      <c r="G475" t="s">
        <v>2432</v>
      </c>
      <c r="L475" s="677">
        <v>26124041</v>
      </c>
      <c r="P475" s="677"/>
      <c r="Q475" s="677"/>
      <c r="R475" s="677"/>
      <c r="S475" s="677"/>
    </row>
    <row r="476" spans="1:19">
      <c r="A476" s="541"/>
      <c r="B476" s="541" t="s">
        <v>2427</v>
      </c>
      <c r="C476" s="650">
        <v>627998</v>
      </c>
      <c r="D476" s="589"/>
      <c r="G476" t="s">
        <v>2433</v>
      </c>
      <c r="L476" s="677">
        <v>5410000</v>
      </c>
      <c r="P476" s="677"/>
      <c r="Q476" s="677"/>
      <c r="R476" s="677"/>
      <c r="S476" s="677"/>
    </row>
    <row r="477" spans="1:19">
      <c r="A477" s="541" t="s">
        <v>1638</v>
      </c>
      <c r="B477" s="541" t="s">
        <v>1639</v>
      </c>
      <c r="C477" s="650">
        <v>69355641</v>
      </c>
      <c r="D477" s="589">
        <v>118688882</v>
      </c>
      <c r="G477" t="s">
        <v>2434</v>
      </c>
      <c r="L477" s="677">
        <v>82873266</v>
      </c>
      <c r="P477" s="677"/>
      <c r="Q477" s="677"/>
      <c r="R477" s="677"/>
      <c r="S477" s="677"/>
    </row>
    <row r="478" spans="1:19">
      <c r="A478" s="541" t="s">
        <v>2024</v>
      </c>
      <c r="B478" s="541" t="s">
        <v>1660</v>
      </c>
      <c r="C478" s="650"/>
      <c r="D478" s="589">
        <v>426364</v>
      </c>
      <c r="G478" t="s">
        <v>2435</v>
      </c>
      <c r="L478" s="677">
        <v>43631137</v>
      </c>
      <c r="P478" s="677"/>
      <c r="Q478" s="677"/>
      <c r="R478" s="677"/>
      <c r="S478" s="677"/>
    </row>
    <row r="479" spans="1:19">
      <c r="A479" s="541" t="s">
        <v>1640</v>
      </c>
      <c r="B479" s="541" t="s">
        <v>1641</v>
      </c>
      <c r="C479" s="650">
        <v>1267000</v>
      </c>
      <c r="D479" s="589">
        <v>4322272</v>
      </c>
      <c r="G479" t="s">
        <v>2436</v>
      </c>
      <c r="L479" s="677">
        <v>17598967</v>
      </c>
      <c r="P479" s="677"/>
      <c r="Q479" s="677"/>
      <c r="R479" s="677"/>
      <c r="S479" s="677"/>
    </row>
    <row r="480" spans="1:19">
      <c r="A480" s="541" t="s">
        <v>1642</v>
      </c>
      <c r="B480" s="541" t="s">
        <v>1601</v>
      </c>
      <c r="C480" s="650">
        <v>4174698</v>
      </c>
      <c r="D480" s="589">
        <v>28406307</v>
      </c>
      <c r="G480" t="s">
        <v>2437</v>
      </c>
      <c r="L480" s="677">
        <v>71629831</v>
      </c>
      <c r="P480" s="677"/>
      <c r="Q480" s="677"/>
      <c r="R480" s="677"/>
      <c r="S480" s="677"/>
    </row>
    <row r="481" spans="1:19">
      <c r="A481" s="541" t="s">
        <v>1643</v>
      </c>
      <c r="B481" s="541" t="s">
        <v>1644</v>
      </c>
      <c r="C481" s="650">
        <v>37405232</v>
      </c>
      <c r="D481" s="589">
        <v>102772562</v>
      </c>
      <c r="G481" t="s">
        <v>2438</v>
      </c>
      <c r="L481" s="677">
        <v>8041119</v>
      </c>
      <c r="P481" s="677"/>
      <c r="Q481" s="677"/>
      <c r="R481" s="677"/>
      <c r="S481" s="677"/>
    </row>
    <row r="482" spans="1:19">
      <c r="A482" s="541" t="s">
        <v>1645</v>
      </c>
      <c r="B482" s="541" t="s">
        <v>1646</v>
      </c>
      <c r="C482" s="650">
        <v>26124041</v>
      </c>
      <c r="D482" s="589">
        <v>102977652</v>
      </c>
      <c r="G482" t="s">
        <v>2439</v>
      </c>
      <c r="L482" s="677"/>
      <c r="N482" s="677">
        <v>24918781</v>
      </c>
      <c r="P482" s="677"/>
      <c r="Q482" s="677"/>
      <c r="R482" s="677"/>
      <c r="S482" s="677"/>
    </row>
    <row r="483" spans="1:19">
      <c r="A483" s="541" t="s">
        <v>1647</v>
      </c>
      <c r="B483" s="541" t="s">
        <v>1648</v>
      </c>
      <c r="C483" s="650">
        <v>5410000</v>
      </c>
      <c r="D483" s="589">
        <v>21368182</v>
      </c>
      <c r="G483" t="s">
        <v>2440</v>
      </c>
      <c r="L483" s="677">
        <v>135909</v>
      </c>
      <c r="P483" s="677"/>
      <c r="Q483" s="677"/>
      <c r="R483" s="677"/>
      <c r="S483" s="677"/>
    </row>
    <row r="484" spans="1:19">
      <c r="A484" s="541" t="s">
        <v>2025</v>
      </c>
      <c r="B484" s="541" t="s">
        <v>2026</v>
      </c>
      <c r="C484" s="650"/>
      <c r="D484" s="589">
        <v>6964398</v>
      </c>
      <c r="G484" t="s">
        <v>2441</v>
      </c>
      <c r="L484" s="677">
        <v>5897254</v>
      </c>
      <c r="P484" s="677"/>
      <c r="Q484" s="677"/>
      <c r="R484" s="677"/>
      <c r="S484" s="677"/>
    </row>
    <row r="485" spans="1:19">
      <c r="A485" s="541" t="s">
        <v>1879</v>
      </c>
      <c r="B485" s="541" t="s">
        <v>1880</v>
      </c>
      <c r="C485" s="650"/>
      <c r="D485" s="589">
        <v>1320438</v>
      </c>
      <c r="G485" t="s">
        <v>2442</v>
      </c>
      <c r="L485" s="677">
        <v>5206364</v>
      </c>
      <c r="P485" s="677"/>
      <c r="Q485" s="677"/>
      <c r="R485" s="677"/>
      <c r="S485" s="677"/>
    </row>
    <row r="486" spans="1:19">
      <c r="A486" s="541" t="s">
        <v>1649</v>
      </c>
      <c r="B486" s="541" t="s">
        <v>1650</v>
      </c>
      <c r="C486" s="650">
        <v>82873266</v>
      </c>
      <c r="D486" s="589">
        <v>581655068</v>
      </c>
      <c r="G486" t="s">
        <v>2443</v>
      </c>
      <c r="L486" s="677">
        <v>38182</v>
      </c>
      <c r="P486" s="677"/>
      <c r="Q486" s="677"/>
      <c r="R486" s="677"/>
      <c r="S486" s="677"/>
    </row>
    <row r="487" spans="1:19">
      <c r="A487" s="541" t="s">
        <v>1651</v>
      </c>
      <c r="B487" s="541" t="s">
        <v>905</v>
      </c>
      <c r="C487" s="650">
        <v>43631137</v>
      </c>
      <c r="D487" s="589">
        <v>149224992</v>
      </c>
      <c r="G487" t="s">
        <v>2444</v>
      </c>
      <c r="L487" s="677">
        <v>13641072</v>
      </c>
      <c r="P487" s="677"/>
      <c r="Q487" s="677"/>
      <c r="R487" s="677"/>
      <c r="S487" s="677"/>
    </row>
    <row r="488" spans="1:19">
      <c r="A488" s="541" t="s">
        <v>1881</v>
      </c>
      <c r="B488" s="541" t="s">
        <v>1882</v>
      </c>
      <c r="C488" s="650"/>
      <c r="D488" s="589">
        <v>52216838</v>
      </c>
      <c r="L488" s="677"/>
      <c r="P488" s="677"/>
      <c r="Q488" s="677"/>
      <c r="R488" s="677"/>
      <c r="S488" s="677"/>
    </row>
    <row r="489" spans="1:19">
      <c r="A489" s="541" t="s">
        <v>1883</v>
      </c>
      <c r="B489" s="541" t="s">
        <v>1884</v>
      </c>
      <c r="C489" s="650">
        <v>17598967</v>
      </c>
      <c r="D489" s="589">
        <v>13422684</v>
      </c>
      <c r="L489" s="677"/>
      <c r="P489" s="677"/>
      <c r="Q489" s="677"/>
      <c r="R489" s="677"/>
      <c r="S489" s="677"/>
    </row>
    <row r="490" spans="1:19">
      <c r="A490" s="541" t="s">
        <v>1654</v>
      </c>
      <c r="B490" s="541" t="s">
        <v>901</v>
      </c>
      <c r="C490" s="650">
        <v>71629831</v>
      </c>
      <c r="D490" s="589">
        <v>309120609</v>
      </c>
      <c r="L490" s="677"/>
      <c r="P490" s="677"/>
      <c r="Q490" s="677"/>
      <c r="R490" s="677"/>
      <c r="S490" s="677"/>
    </row>
    <row r="491" spans="1:19">
      <c r="A491" s="541" t="s">
        <v>1799</v>
      </c>
      <c r="B491" s="541" t="s">
        <v>1800</v>
      </c>
      <c r="C491" s="650">
        <v>8041119</v>
      </c>
      <c r="D491" s="589">
        <v>34910721</v>
      </c>
      <c r="L491" s="677"/>
      <c r="P491" s="677"/>
      <c r="Q491" s="677"/>
      <c r="R491" s="677"/>
      <c r="S491" s="677"/>
    </row>
    <row r="492" spans="1:19">
      <c r="A492" s="541" t="s">
        <v>1625</v>
      </c>
      <c r="B492" s="541" t="s">
        <v>1626</v>
      </c>
      <c r="C492" s="683">
        <f>SUM(C465:C491)</f>
        <v>1554113776</v>
      </c>
      <c r="D492" s="589">
        <v>6031812748</v>
      </c>
      <c r="L492" s="677"/>
      <c r="P492" s="677"/>
      <c r="Q492" s="677"/>
      <c r="R492" s="677"/>
      <c r="S492" s="677"/>
    </row>
    <row r="493" spans="1:19">
      <c r="A493" s="541" t="s">
        <v>1655</v>
      </c>
      <c r="B493" s="541" t="s">
        <v>1656</v>
      </c>
      <c r="C493" s="650"/>
      <c r="D493" s="589"/>
      <c r="L493" s="677"/>
      <c r="P493" s="677"/>
      <c r="Q493" s="677"/>
      <c r="R493" s="677"/>
      <c r="S493" s="677"/>
    </row>
    <row r="494" spans="1:19">
      <c r="A494" s="541" t="s">
        <v>1657</v>
      </c>
      <c r="B494" s="541" t="s">
        <v>1658</v>
      </c>
      <c r="C494" s="650"/>
      <c r="D494" s="589">
        <v>53182</v>
      </c>
      <c r="L494" s="677"/>
      <c r="P494" s="677"/>
      <c r="Q494" s="677"/>
      <c r="R494" s="677"/>
      <c r="S494" s="677"/>
    </row>
    <row r="495" spans="1:19">
      <c r="A495" s="541" t="s">
        <v>1659</v>
      </c>
      <c r="B495" s="541" t="s">
        <v>1660</v>
      </c>
      <c r="C495" s="650">
        <v>135909</v>
      </c>
      <c r="D495" s="589">
        <v>195726</v>
      </c>
      <c r="L495" s="677"/>
      <c r="P495" s="677"/>
      <c r="Q495" s="677"/>
      <c r="R495" s="677"/>
      <c r="S495" s="677"/>
    </row>
    <row r="496" spans="1:19">
      <c r="A496" s="541" t="s">
        <v>1885</v>
      </c>
      <c r="B496" s="541" t="s">
        <v>1886</v>
      </c>
      <c r="C496" s="650"/>
      <c r="D496" s="589">
        <v>7520759</v>
      </c>
      <c r="L496" s="677"/>
      <c r="P496" s="677"/>
      <c r="Q496" s="677"/>
      <c r="R496" s="677"/>
      <c r="S496" s="677"/>
    </row>
    <row r="497" spans="1:19">
      <c r="A497" s="541" t="s">
        <v>1661</v>
      </c>
      <c r="B497" s="541" t="s">
        <v>1624</v>
      </c>
      <c r="C497" s="651">
        <v>5897254</v>
      </c>
      <c r="D497" s="596">
        <v>53737265</v>
      </c>
      <c r="L497" s="677"/>
      <c r="P497" s="677"/>
      <c r="Q497" s="677"/>
      <c r="R497" s="677"/>
      <c r="S497" s="677"/>
    </row>
    <row r="498" spans="1:19">
      <c r="A498" s="541"/>
      <c r="B498" s="541" t="s">
        <v>2442</v>
      </c>
      <c r="C498" s="651">
        <v>5206364</v>
      </c>
      <c r="L498" s="677"/>
      <c r="P498" s="677"/>
      <c r="Q498" s="677"/>
      <c r="R498" s="677"/>
      <c r="S498" s="677"/>
    </row>
    <row r="499" spans="1:19">
      <c r="A499" s="541" t="s">
        <v>1803</v>
      </c>
      <c r="B499" s="541" t="s">
        <v>1804</v>
      </c>
      <c r="C499" s="650">
        <v>38182</v>
      </c>
      <c r="D499" s="589">
        <v>20000</v>
      </c>
      <c r="L499" s="677"/>
      <c r="P499" s="677"/>
      <c r="Q499" s="677"/>
      <c r="R499" s="677"/>
      <c r="S499" s="677"/>
    </row>
    <row r="500" spans="1:19">
      <c r="A500" s="599">
        <v>520115019</v>
      </c>
      <c r="B500" s="599" t="s">
        <v>2055</v>
      </c>
      <c r="C500" s="676"/>
      <c r="D500" s="589">
        <v>3422100</v>
      </c>
      <c r="L500" s="677"/>
      <c r="P500" s="677"/>
      <c r="Q500" s="677"/>
      <c r="R500" s="677"/>
      <c r="S500" s="677"/>
    </row>
    <row r="501" spans="1:19">
      <c r="A501" s="599">
        <v>520115023</v>
      </c>
      <c r="B501" s="599" t="s">
        <v>1900</v>
      </c>
      <c r="C501" s="676"/>
      <c r="D501" s="589">
        <v>93331</v>
      </c>
      <c r="L501" s="677"/>
      <c r="P501" s="677"/>
      <c r="Q501" s="677"/>
      <c r="R501" s="677"/>
      <c r="S501" s="677"/>
    </row>
    <row r="502" spans="1:19">
      <c r="A502" s="541" t="s">
        <v>1662</v>
      </c>
      <c r="B502" s="541" t="s">
        <v>1663</v>
      </c>
      <c r="C502" s="650">
        <v>13641072</v>
      </c>
      <c r="D502" s="589">
        <v>15175080</v>
      </c>
      <c r="L502" s="677"/>
      <c r="P502" s="677"/>
      <c r="Q502" s="677"/>
      <c r="R502" s="677"/>
      <c r="S502" s="677"/>
    </row>
    <row r="503" spans="1:19">
      <c r="A503" s="541" t="s">
        <v>1655</v>
      </c>
      <c r="B503" s="541" t="s">
        <v>1656</v>
      </c>
      <c r="C503" s="650">
        <f>SUM(C495:C502)</f>
        <v>24918781</v>
      </c>
      <c r="D503" s="589">
        <v>80217443</v>
      </c>
      <c r="L503" s="677"/>
      <c r="P503" s="677"/>
      <c r="Q503" s="677"/>
      <c r="R503" s="677"/>
      <c r="S503" s="677"/>
    </row>
    <row r="504" spans="1:19">
      <c r="A504" s="541" t="s">
        <v>1582</v>
      </c>
      <c r="B504" s="541" t="s">
        <v>1583</v>
      </c>
      <c r="C504" s="650">
        <f>+C503+C492+C463+C458</f>
        <v>2507402539</v>
      </c>
      <c r="D504" s="589">
        <v>9771867232</v>
      </c>
      <c r="L504" s="677"/>
      <c r="P504" s="677"/>
      <c r="Q504" s="677"/>
      <c r="R504" s="677"/>
      <c r="S504" s="677"/>
    </row>
    <row r="505" spans="1:19">
      <c r="A505" s="541" t="s">
        <v>1664</v>
      </c>
      <c r="B505" s="541" t="s">
        <v>1665</v>
      </c>
      <c r="C505" s="650"/>
      <c r="D505" s="589"/>
      <c r="L505" s="677"/>
      <c r="P505" s="677"/>
      <c r="Q505" s="677"/>
      <c r="R505" s="677"/>
      <c r="S505" s="677"/>
    </row>
    <row r="506" spans="1:19">
      <c r="A506" s="541" t="s">
        <v>1666</v>
      </c>
      <c r="B506" s="541" t="s">
        <v>1667</v>
      </c>
      <c r="C506" s="650"/>
      <c r="D506" s="589"/>
      <c r="L506" s="677"/>
      <c r="P506" s="677"/>
      <c r="Q506" s="677"/>
      <c r="R506" s="677"/>
      <c r="S506" s="677"/>
    </row>
    <row r="507" spans="1:19">
      <c r="A507" s="541">
        <v>521101010</v>
      </c>
      <c r="B507" s="541" t="s">
        <v>1576</v>
      </c>
      <c r="C507" s="650">
        <v>85890443</v>
      </c>
      <c r="D507" s="589">
        <v>338348568</v>
      </c>
      <c r="L507" s="677"/>
      <c r="P507" s="677"/>
      <c r="Q507" s="677"/>
      <c r="R507" s="677"/>
      <c r="S507" s="677"/>
    </row>
    <row r="508" spans="1:19">
      <c r="A508" s="599">
        <v>521101011</v>
      </c>
      <c r="B508" s="599" t="s">
        <v>2056</v>
      </c>
      <c r="C508" s="650">
        <v>6363636</v>
      </c>
      <c r="D508" s="589">
        <v>3181818</v>
      </c>
      <c r="L508" s="677"/>
      <c r="P508" s="677"/>
      <c r="Q508" s="677"/>
      <c r="R508" s="677"/>
      <c r="S508" s="677"/>
    </row>
    <row r="509" spans="1:19">
      <c r="A509" s="541">
        <v>521101021</v>
      </c>
      <c r="B509" s="541" t="s">
        <v>1669</v>
      </c>
      <c r="C509" s="650">
        <v>1005000</v>
      </c>
      <c r="D509" s="589">
        <v>2713636</v>
      </c>
      <c r="L509" s="677"/>
      <c r="P509" s="677"/>
      <c r="Q509" s="677"/>
      <c r="R509" s="677"/>
      <c r="S509" s="677"/>
    </row>
    <row r="510" spans="1:19">
      <c r="A510" s="541">
        <v>521101031</v>
      </c>
      <c r="B510" s="541" t="s">
        <v>1807</v>
      </c>
      <c r="C510" s="651">
        <v>33636364</v>
      </c>
      <c r="D510" s="596">
        <v>10620662</v>
      </c>
      <c r="L510" s="677"/>
      <c r="P510" s="677"/>
      <c r="Q510" s="677"/>
      <c r="R510" s="677"/>
      <c r="S510" s="677"/>
    </row>
    <row r="511" spans="1:19">
      <c r="A511" s="541">
        <v>521101042</v>
      </c>
      <c r="B511" s="541" t="s">
        <v>1888</v>
      </c>
      <c r="C511" s="651">
        <v>11693754</v>
      </c>
      <c r="D511" s="596">
        <v>52030972</v>
      </c>
      <c r="L511" s="677"/>
      <c r="P511" s="677"/>
      <c r="Q511" s="677"/>
      <c r="R511" s="677"/>
      <c r="S511" s="677"/>
    </row>
    <row r="512" spans="1:19">
      <c r="A512" s="541">
        <v>521101</v>
      </c>
      <c r="B512" s="541" t="s">
        <v>1667</v>
      </c>
      <c r="C512" s="650">
        <f>SUM(C507:C511)</f>
        <v>138589197</v>
      </c>
      <c r="D512" s="589">
        <v>406895656</v>
      </c>
      <c r="L512" s="677"/>
      <c r="P512" s="677"/>
      <c r="Q512" s="677"/>
      <c r="R512" s="677"/>
      <c r="S512" s="677"/>
    </row>
    <row r="513" spans="1:19">
      <c r="A513" s="541" t="s">
        <v>1670</v>
      </c>
      <c r="B513" s="541" t="s">
        <v>1671</v>
      </c>
      <c r="C513" s="650"/>
      <c r="D513" s="589"/>
      <c r="L513" s="677"/>
      <c r="P513" s="677"/>
      <c r="Q513" s="677"/>
      <c r="R513" s="677"/>
      <c r="S513" s="677"/>
    </row>
    <row r="514" spans="1:19">
      <c r="A514" s="541" t="s">
        <v>1889</v>
      </c>
      <c r="B514" s="541" t="s">
        <v>1890</v>
      </c>
      <c r="C514" s="650"/>
      <c r="D514" s="589">
        <v>100000</v>
      </c>
      <c r="G514" t="s">
        <v>2445</v>
      </c>
      <c r="L514" s="677"/>
      <c r="O514" s="677">
        <v>190407038</v>
      </c>
      <c r="P514" s="677"/>
      <c r="Q514" s="677"/>
      <c r="R514" s="677"/>
      <c r="S514" s="677"/>
    </row>
    <row r="515" spans="1:19">
      <c r="A515" s="541" t="s">
        <v>1891</v>
      </c>
      <c r="B515" s="541" t="s">
        <v>1892</v>
      </c>
      <c r="C515" s="650"/>
      <c r="D515" s="589"/>
      <c r="G515" t="s">
        <v>2446</v>
      </c>
      <c r="L515" s="677"/>
      <c r="N515" s="677">
        <v>138589197</v>
      </c>
      <c r="P515" s="677"/>
      <c r="Q515" s="677"/>
      <c r="R515" s="677"/>
      <c r="S515" s="677"/>
    </row>
    <row r="516" spans="1:19">
      <c r="A516" s="541" t="s">
        <v>1893</v>
      </c>
      <c r="B516" s="541" t="s">
        <v>1894</v>
      </c>
      <c r="C516" s="650"/>
      <c r="D516" s="589">
        <v>4124428</v>
      </c>
      <c r="G516" t="s">
        <v>2447</v>
      </c>
      <c r="L516" s="677">
        <v>85890443</v>
      </c>
      <c r="P516" s="677"/>
      <c r="Q516" s="677"/>
      <c r="R516" s="677"/>
      <c r="S516" s="677"/>
    </row>
    <row r="517" spans="1:19">
      <c r="A517" s="541" t="s">
        <v>2027</v>
      </c>
      <c r="B517" s="541" t="s">
        <v>2028</v>
      </c>
      <c r="D517" s="596">
        <v>1550636</v>
      </c>
      <c r="G517" t="s">
        <v>2448</v>
      </c>
      <c r="L517" s="677">
        <v>6363636</v>
      </c>
      <c r="P517" s="677"/>
      <c r="Q517" s="677"/>
      <c r="R517" s="677"/>
      <c r="S517" s="677"/>
    </row>
    <row r="518" spans="1:19">
      <c r="A518" s="541" t="s">
        <v>1672</v>
      </c>
      <c r="B518" s="541" t="s">
        <v>1017</v>
      </c>
      <c r="C518" s="650">
        <v>41762363</v>
      </c>
      <c r="D518" s="589">
        <v>48661968</v>
      </c>
      <c r="G518" t="s">
        <v>2449</v>
      </c>
      <c r="L518" s="677">
        <v>1005000</v>
      </c>
      <c r="P518" s="677"/>
      <c r="Q518" s="677"/>
      <c r="R518" s="677"/>
      <c r="S518" s="677"/>
    </row>
    <row r="519" spans="1:19">
      <c r="A519" s="541" t="s">
        <v>1851</v>
      </c>
      <c r="B519" s="541" t="s">
        <v>1017</v>
      </c>
      <c r="C519" s="650"/>
      <c r="D519" s="589">
        <v>265915370</v>
      </c>
      <c r="G519" t="s">
        <v>2450</v>
      </c>
      <c r="L519" s="677">
        <v>33636364</v>
      </c>
      <c r="P519" s="677"/>
      <c r="Q519" s="677"/>
      <c r="R519" s="677"/>
      <c r="S519" s="677"/>
    </row>
    <row r="520" spans="1:19">
      <c r="A520" s="541" t="s">
        <v>1670</v>
      </c>
      <c r="B520" s="541" t="s">
        <v>1671</v>
      </c>
      <c r="C520" s="650">
        <f>SUM(C514:C519)</f>
        <v>41762363</v>
      </c>
      <c r="D520" s="589">
        <v>320352402</v>
      </c>
      <c r="G520" t="s">
        <v>2451</v>
      </c>
      <c r="L520" s="677">
        <v>11693754</v>
      </c>
      <c r="P520" s="677"/>
      <c r="Q520" s="677"/>
      <c r="R520" s="677"/>
      <c r="S520" s="677"/>
    </row>
    <row r="521" spans="1:19">
      <c r="A521" s="541" t="s">
        <v>1673</v>
      </c>
      <c r="B521" s="541" t="s">
        <v>1674</v>
      </c>
      <c r="C521" s="650"/>
      <c r="D521" s="589"/>
      <c r="G521" t="s">
        <v>2452</v>
      </c>
      <c r="L521" s="677"/>
      <c r="N521" s="677">
        <v>41762363</v>
      </c>
      <c r="P521" s="677"/>
      <c r="Q521" s="677"/>
      <c r="R521" s="677"/>
      <c r="S521" s="677"/>
    </row>
    <row r="522" spans="1:19">
      <c r="A522" s="599">
        <v>521121011</v>
      </c>
      <c r="B522" s="599" t="s">
        <v>2057</v>
      </c>
      <c r="C522" s="676"/>
      <c r="D522" s="603">
        <v>27347637</v>
      </c>
      <c r="G522" t="s">
        <v>2453</v>
      </c>
      <c r="L522" s="677">
        <v>41762363</v>
      </c>
      <c r="P522" s="677"/>
      <c r="Q522" s="677"/>
      <c r="R522" s="677"/>
      <c r="S522" s="677"/>
    </row>
    <row r="523" spans="1:19">
      <c r="A523" s="541">
        <v>521121021</v>
      </c>
      <c r="B523" s="541" t="s">
        <v>1676</v>
      </c>
      <c r="C523" s="650"/>
      <c r="D523" s="589">
        <v>59449713</v>
      </c>
      <c r="G523" t="s">
        <v>2454</v>
      </c>
      <c r="L523" s="677"/>
      <c r="N523" s="677">
        <v>4272727</v>
      </c>
      <c r="P523" s="677"/>
      <c r="Q523" s="677"/>
      <c r="R523" s="677"/>
      <c r="S523" s="677"/>
    </row>
    <row r="524" spans="1:19">
      <c r="A524" s="541">
        <v>521121</v>
      </c>
      <c r="B524" s="541" t="s">
        <v>1674</v>
      </c>
      <c r="C524" s="650">
        <f>SUM(C522:C523)</f>
        <v>0</v>
      </c>
      <c r="D524" s="589">
        <v>86797350</v>
      </c>
      <c r="G524" t="s">
        <v>2455</v>
      </c>
      <c r="L524" s="677">
        <v>4272727</v>
      </c>
      <c r="P524" s="677"/>
      <c r="Q524" s="677"/>
      <c r="R524" s="677"/>
      <c r="S524" s="677"/>
    </row>
    <row r="525" spans="1:19">
      <c r="A525" s="541" t="s">
        <v>1810</v>
      </c>
      <c r="B525" s="541" t="s">
        <v>1811</v>
      </c>
      <c r="C525" s="650"/>
      <c r="D525" s="589"/>
      <c r="G525" t="s">
        <v>2456</v>
      </c>
      <c r="L525" s="677"/>
      <c r="N525" s="677">
        <v>5782751</v>
      </c>
      <c r="P525" s="677"/>
      <c r="Q525" s="677"/>
      <c r="R525" s="677"/>
      <c r="S525" s="677"/>
    </row>
    <row r="526" spans="1:19">
      <c r="A526" s="541" t="s">
        <v>1812</v>
      </c>
      <c r="B526" s="541" t="s">
        <v>1813</v>
      </c>
      <c r="C526" s="651">
        <v>4272727</v>
      </c>
      <c r="D526" s="596">
        <v>17000000</v>
      </c>
      <c r="G526" t="s">
        <v>2457</v>
      </c>
      <c r="L526" s="677">
        <v>5782751</v>
      </c>
      <c r="P526" s="677"/>
      <c r="Q526" s="677"/>
      <c r="R526" s="677"/>
      <c r="S526" s="677"/>
    </row>
    <row r="527" spans="1:19">
      <c r="A527" s="541" t="s">
        <v>1810</v>
      </c>
      <c r="B527" s="541" t="s">
        <v>1811</v>
      </c>
      <c r="C527" s="650">
        <f>+C526</f>
        <v>4272727</v>
      </c>
      <c r="D527" s="589">
        <v>17000000</v>
      </c>
      <c r="G527" t="s">
        <v>2458</v>
      </c>
      <c r="L527" s="677"/>
      <c r="P527" s="677"/>
      <c r="Q527" s="677"/>
      <c r="R527" s="677">
        <v>321613921</v>
      </c>
      <c r="S527" s="677"/>
    </row>
    <row r="528" spans="1:19">
      <c r="A528" s="541" t="s">
        <v>1677</v>
      </c>
      <c r="B528" s="541" t="s">
        <v>1678</v>
      </c>
      <c r="C528" s="650"/>
      <c r="D528" s="589"/>
      <c r="G528" t="s">
        <v>2459</v>
      </c>
      <c r="L528" s="677"/>
      <c r="O528" s="677">
        <v>251788527</v>
      </c>
      <c r="P528" s="677"/>
      <c r="Q528" s="677"/>
      <c r="R528" s="677"/>
      <c r="S528" s="677"/>
    </row>
    <row r="529" spans="1:19">
      <c r="A529" s="541" t="s">
        <v>1679</v>
      </c>
      <c r="B529" s="541" t="s">
        <v>1680</v>
      </c>
      <c r="C529" s="651">
        <v>5782751</v>
      </c>
      <c r="D529" s="596">
        <v>51628166</v>
      </c>
      <c r="G529" t="s">
        <v>2460</v>
      </c>
      <c r="L529" s="677"/>
      <c r="N529" s="677">
        <v>251788527</v>
      </c>
      <c r="P529" s="677"/>
      <c r="Q529" s="677"/>
      <c r="R529" s="677"/>
      <c r="S529" s="677"/>
    </row>
    <row r="530" spans="1:19">
      <c r="A530" s="541" t="s">
        <v>1677</v>
      </c>
      <c r="B530" s="541" t="s">
        <v>1678</v>
      </c>
      <c r="C530" s="650">
        <f>+C529</f>
        <v>5782751</v>
      </c>
      <c r="D530" s="589">
        <v>51628166</v>
      </c>
      <c r="G530" t="s">
        <v>2461</v>
      </c>
      <c r="L530" s="677">
        <v>20799491</v>
      </c>
      <c r="P530" s="677"/>
      <c r="Q530" s="677"/>
      <c r="R530" s="677"/>
      <c r="S530" s="677"/>
    </row>
    <row r="531" spans="1:19">
      <c r="A531" s="541" t="s">
        <v>1664</v>
      </c>
      <c r="B531" s="541" t="s">
        <v>1665</v>
      </c>
      <c r="C531" s="650">
        <f>+C530+C527+C520+C512</f>
        <v>190407038</v>
      </c>
      <c r="D531" s="589">
        <v>882673574</v>
      </c>
      <c r="G531" t="s">
        <v>2462</v>
      </c>
      <c r="L531" s="677">
        <v>14861358</v>
      </c>
      <c r="P531" s="677"/>
      <c r="Q531" s="677"/>
      <c r="R531" s="677"/>
      <c r="S531" s="677"/>
    </row>
    <row r="532" spans="1:19">
      <c r="A532" s="541" t="s">
        <v>1580</v>
      </c>
      <c r="B532" s="541" t="s">
        <v>1581</v>
      </c>
      <c r="C532" s="651">
        <f>+C531+C504</f>
        <v>2697809577</v>
      </c>
      <c r="D532" s="596">
        <v>10654540806</v>
      </c>
      <c r="G532" t="s">
        <v>2463</v>
      </c>
      <c r="L532" s="677">
        <v>10755000</v>
      </c>
      <c r="P532" s="677"/>
      <c r="Q532" s="677"/>
      <c r="R532" s="677"/>
      <c r="S532" s="677"/>
    </row>
    <row r="533" spans="1:19">
      <c r="A533" s="541" t="s">
        <v>1681</v>
      </c>
      <c r="B533" s="541" t="s">
        <v>1682</v>
      </c>
      <c r="C533" s="650"/>
      <c r="D533" s="589"/>
      <c r="G533" t="s">
        <v>2464</v>
      </c>
      <c r="L533" s="677">
        <v>205372678</v>
      </c>
      <c r="P533" s="677"/>
      <c r="Q533" s="677"/>
      <c r="R533" s="677"/>
      <c r="S533" s="677"/>
    </row>
    <row r="534" spans="1:19">
      <c r="A534" s="541" t="s">
        <v>1683</v>
      </c>
      <c r="B534" s="541" t="s">
        <v>1684</v>
      </c>
      <c r="C534" s="650"/>
      <c r="D534" s="589"/>
      <c r="G534" t="s">
        <v>2465</v>
      </c>
      <c r="L534" s="677"/>
      <c r="O534" s="677">
        <v>68954760</v>
      </c>
      <c r="P534" s="677"/>
      <c r="Q534" s="677"/>
      <c r="R534" s="677"/>
      <c r="S534" s="677"/>
    </row>
    <row r="535" spans="1:19">
      <c r="A535" s="541" t="s">
        <v>1685</v>
      </c>
      <c r="B535" s="541" t="s">
        <v>1686</v>
      </c>
      <c r="C535" s="650"/>
      <c r="D535" s="589"/>
      <c r="G535" t="s">
        <v>2466</v>
      </c>
      <c r="L535" s="677"/>
      <c r="N535" s="677">
        <v>61657482</v>
      </c>
      <c r="P535" s="677"/>
      <c r="Q535" s="677"/>
      <c r="R535" s="677"/>
      <c r="S535" s="677"/>
    </row>
    <row r="536" spans="1:19">
      <c r="A536" s="541" t="s">
        <v>1687</v>
      </c>
      <c r="B536" s="541" t="s">
        <v>1688</v>
      </c>
      <c r="C536" s="650">
        <v>20799491</v>
      </c>
      <c r="D536" s="589">
        <v>35891092</v>
      </c>
      <c r="G536" t="s">
        <v>2467</v>
      </c>
      <c r="L536" s="677"/>
      <c r="N536" s="677">
        <v>7297278</v>
      </c>
      <c r="P536" s="677"/>
      <c r="Q536" s="677"/>
      <c r="R536" s="677"/>
      <c r="S536" s="677"/>
    </row>
    <row r="537" spans="1:19">
      <c r="A537" s="541" t="s">
        <v>1689</v>
      </c>
      <c r="B537" s="541" t="s">
        <v>1690</v>
      </c>
      <c r="C537" s="651">
        <v>14861358</v>
      </c>
      <c r="D537" s="596">
        <v>19625301</v>
      </c>
      <c r="G537" t="s">
        <v>2468</v>
      </c>
      <c r="L537" s="677"/>
      <c r="O537" s="677">
        <v>870634</v>
      </c>
      <c r="P537" s="677"/>
      <c r="Q537" s="677"/>
      <c r="R537" s="677"/>
      <c r="S537" s="677"/>
    </row>
    <row r="538" spans="1:19">
      <c r="A538" s="541" t="s">
        <v>1895</v>
      </c>
      <c r="B538" s="541" t="s">
        <v>1896</v>
      </c>
      <c r="D538" s="596">
        <v>5365463</v>
      </c>
      <c r="G538" t="s">
        <v>2469</v>
      </c>
      <c r="L538" s="677"/>
      <c r="N538" s="677">
        <v>870634</v>
      </c>
      <c r="P538" s="677"/>
      <c r="Q538" s="677"/>
      <c r="R538" s="677"/>
      <c r="S538" s="677"/>
    </row>
    <row r="539" spans="1:19">
      <c r="A539" s="541" t="s">
        <v>1691</v>
      </c>
      <c r="B539" s="541" t="s">
        <v>1692</v>
      </c>
      <c r="C539" s="651">
        <v>10755000</v>
      </c>
      <c r="D539" s="596">
        <v>19367340</v>
      </c>
      <c r="G539" t="s">
        <v>2470</v>
      </c>
      <c r="L539" s="677"/>
      <c r="P539" s="677"/>
      <c r="Q539" s="677"/>
      <c r="R539" s="677">
        <v>242455947</v>
      </c>
      <c r="S539" s="677"/>
    </row>
    <row r="540" spans="1:19">
      <c r="A540" s="541" t="s">
        <v>1814</v>
      </c>
      <c r="B540" s="541" t="s">
        <v>1815</v>
      </c>
      <c r="C540" s="650">
        <v>205372678</v>
      </c>
      <c r="D540" s="589">
        <v>685743594</v>
      </c>
      <c r="G540" t="s">
        <v>2471</v>
      </c>
      <c r="L540" s="677"/>
      <c r="O540" s="677">
        <v>242455947</v>
      </c>
      <c r="P540" s="677"/>
      <c r="Q540" s="677"/>
      <c r="R540" s="677"/>
      <c r="S540" s="677"/>
    </row>
    <row r="541" spans="1:19">
      <c r="A541" s="541" t="s">
        <v>1685</v>
      </c>
      <c r="B541" s="541" t="s">
        <v>1686</v>
      </c>
      <c r="C541" s="650">
        <f>SUM(C536:C540)</f>
        <v>251788527</v>
      </c>
      <c r="D541" s="589">
        <v>765992790</v>
      </c>
      <c r="G541" t="s">
        <v>2472</v>
      </c>
      <c r="L541" s="677"/>
      <c r="N541" s="677">
        <v>213222798</v>
      </c>
      <c r="P541" s="677"/>
      <c r="Q541" s="677"/>
      <c r="R541" s="677"/>
      <c r="S541" s="677"/>
    </row>
    <row r="542" spans="1:19">
      <c r="A542" s="541" t="s">
        <v>1683</v>
      </c>
      <c r="B542" s="541" t="s">
        <v>1684</v>
      </c>
      <c r="C542" s="650">
        <f>+C541</f>
        <v>251788527</v>
      </c>
      <c r="D542" s="589">
        <v>765992790</v>
      </c>
      <c r="G542" t="s">
        <v>2473</v>
      </c>
      <c r="L542" s="677">
        <v>199661780</v>
      </c>
      <c r="P542" s="677"/>
      <c r="Q542" s="677"/>
      <c r="R542" s="677"/>
      <c r="S542" s="677"/>
    </row>
    <row r="543" spans="1:19">
      <c r="A543" s="541" t="s">
        <v>1816</v>
      </c>
      <c r="B543" s="541" t="s">
        <v>1817</v>
      </c>
      <c r="C543" s="650"/>
      <c r="D543" s="589"/>
      <c r="G543" t="s">
        <v>2474</v>
      </c>
      <c r="L543" s="677">
        <v>6001566</v>
      </c>
      <c r="P543" s="677"/>
      <c r="Q543" s="677"/>
      <c r="R543" s="677"/>
      <c r="S543" s="677"/>
    </row>
    <row r="544" spans="1:19">
      <c r="A544" s="541" t="s">
        <v>1818</v>
      </c>
      <c r="B544" s="541" t="s">
        <v>1819</v>
      </c>
      <c r="C544" s="650">
        <v>61657482</v>
      </c>
      <c r="D544" s="589">
        <v>246629923</v>
      </c>
      <c r="G544" t="s">
        <v>2475</v>
      </c>
      <c r="L544" s="677">
        <v>7559452</v>
      </c>
      <c r="P544" s="677"/>
      <c r="Q544" s="677"/>
      <c r="R544" s="677"/>
      <c r="S544" s="677"/>
    </row>
    <row r="545" spans="1:19">
      <c r="A545" s="541" t="s">
        <v>1820</v>
      </c>
      <c r="B545" s="541" t="s">
        <v>1821</v>
      </c>
      <c r="C545" s="650">
        <v>7297278</v>
      </c>
      <c r="D545" s="589">
        <v>21689818</v>
      </c>
      <c r="G545" t="s">
        <v>2476</v>
      </c>
      <c r="L545" s="677"/>
      <c r="N545" s="677">
        <v>29233149</v>
      </c>
      <c r="P545" s="677"/>
      <c r="Q545" s="677"/>
      <c r="R545" s="677"/>
      <c r="S545" s="677"/>
    </row>
    <row r="546" spans="1:19">
      <c r="A546" s="541" t="s">
        <v>1816</v>
      </c>
      <c r="B546" s="541" t="s">
        <v>1817</v>
      </c>
      <c r="C546" s="650">
        <f>SUM(C544:C545)</f>
        <v>68954760</v>
      </c>
      <c r="D546" s="589">
        <v>268319741</v>
      </c>
      <c r="G546" t="s">
        <v>2477</v>
      </c>
      <c r="L546" s="677">
        <v>29083149</v>
      </c>
      <c r="P546" s="677"/>
      <c r="Q546" s="677"/>
      <c r="R546" s="677"/>
      <c r="S546" s="677"/>
    </row>
    <row r="547" spans="1:19">
      <c r="A547" s="541" t="s">
        <v>1822</v>
      </c>
      <c r="B547" s="541" t="s">
        <v>1823</v>
      </c>
      <c r="G547" t="s">
        <v>2478</v>
      </c>
      <c r="L547" s="677">
        <v>150000</v>
      </c>
      <c r="P547" s="677"/>
      <c r="Q547" s="677"/>
      <c r="R547" s="677"/>
      <c r="S547" s="677"/>
    </row>
    <row r="548" spans="1:19">
      <c r="A548" s="599">
        <v>530302</v>
      </c>
      <c r="B548" s="599" t="s">
        <v>1824</v>
      </c>
      <c r="C548" s="672">
        <v>0</v>
      </c>
      <c r="D548" s="602">
        <v>6000000</v>
      </c>
      <c r="G548" t="s">
        <v>2479</v>
      </c>
      <c r="L548" s="677"/>
      <c r="P548" s="677"/>
      <c r="Q548" s="677"/>
      <c r="R548" s="677"/>
      <c r="S548" s="677"/>
    </row>
    <row r="549" spans="1:19">
      <c r="A549" s="541" t="s">
        <v>2029</v>
      </c>
      <c r="B549" s="541" t="s">
        <v>1901</v>
      </c>
      <c r="C549" s="650">
        <v>870634</v>
      </c>
      <c r="D549" s="589">
        <v>5174421</v>
      </c>
      <c r="G549" t="s">
        <v>2302</v>
      </c>
      <c r="L549" s="677"/>
      <c r="P549" s="677"/>
      <c r="Q549" s="677"/>
      <c r="R549" s="677"/>
      <c r="S549" s="677"/>
    </row>
    <row r="550" spans="1:19">
      <c r="A550" s="541" t="s">
        <v>1822</v>
      </c>
      <c r="B550" s="541" t="s">
        <v>1823</v>
      </c>
      <c r="C550" s="650">
        <f>SUM(C548:C549)</f>
        <v>870634</v>
      </c>
      <c r="D550" s="589">
        <v>11174421</v>
      </c>
      <c r="L550" s="677"/>
      <c r="P550" s="677"/>
      <c r="Q550" s="677"/>
      <c r="R550" s="677"/>
      <c r="S550" s="677"/>
    </row>
    <row r="551" spans="1:19">
      <c r="A551" s="541" t="s">
        <v>1695</v>
      </c>
      <c r="B551" s="541" t="s">
        <v>1696</v>
      </c>
      <c r="C551" s="650"/>
      <c r="D551" s="589"/>
      <c r="L551" s="677"/>
      <c r="P551" s="677"/>
      <c r="Q551" s="677"/>
      <c r="R551" s="677"/>
      <c r="S551" s="677"/>
    </row>
    <row r="552" spans="1:19">
      <c r="A552" s="541" t="s">
        <v>1697</v>
      </c>
      <c r="B552" s="541" t="s">
        <v>1698</v>
      </c>
      <c r="C552" s="651">
        <v>17413720</v>
      </c>
      <c r="D552" s="596">
        <v>246203605</v>
      </c>
      <c r="L552" s="677"/>
      <c r="P552" s="677"/>
      <c r="Q552" s="677"/>
      <c r="R552" s="677"/>
      <c r="S552" s="677"/>
    </row>
    <row r="553" spans="1:19">
      <c r="A553" s="541" t="s">
        <v>1695</v>
      </c>
      <c r="B553" s="541" t="s">
        <v>1696</v>
      </c>
      <c r="C553" s="650">
        <f>+C552</f>
        <v>17413720</v>
      </c>
      <c r="D553" s="589">
        <v>246203605</v>
      </c>
      <c r="L553" s="677"/>
      <c r="P553" s="677"/>
      <c r="Q553" s="677"/>
      <c r="R553" s="677"/>
      <c r="S553" s="677"/>
    </row>
    <row r="554" spans="1:19">
      <c r="A554" s="541" t="s">
        <v>1681</v>
      </c>
      <c r="B554" s="541" t="s">
        <v>1682</v>
      </c>
      <c r="C554" s="650">
        <f>+C553+C550+C546+C542</f>
        <v>339027641</v>
      </c>
      <c r="D554" s="589">
        <v>1291690557</v>
      </c>
      <c r="L554" s="677"/>
      <c r="P554" s="677"/>
      <c r="Q554" s="677"/>
      <c r="R554" s="677"/>
      <c r="S554" s="677"/>
    </row>
    <row r="555" spans="1:19">
      <c r="A555" s="541" t="s">
        <v>1699</v>
      </c>
      <c r="B555" s="541" t="s">
        <v>1700</v>
      </c>
      <c r="L555" s="677"/>
      <c r="P555" s="677"/>
      <c r="Q555" s="677"/>
      <c r="R555" s="677"/>
      <c r="S555" s="677"/>
    </row>
    <row r="556" spans="1:19">
      <c r="A556" s="541" t="s">
        <v>1701</v>
      </c>
      <c r="B556" s="541" t="s">
        <v>1700</v>
      </c>
      <c r="C556" s="650"/>
      <c r="D556" s="589"/>
      <c r="L556" s="677"/>
      <c r="P556" s="677"/>
      <c r="Q556" s="677"/>
      <c r="R556" s="677"/>
      <c r="S556" s="677"/>
    </row>
    <row r="557" spans="1:19">
      <c r="A557" s="541" t="s">
        <v>1702</v>
      </c>
      <c r="B557" s="541" t="s">
        <v>1703</v>
      </c>
      <c r="C557" s="650"/>
      <c r="D557" s="589"/>
      <c r="L557" s="677"/>
      <c r="P557" s="677"/>
      <c r="Q557" s="677"/>
      <c r="R557" s="677"/>
      <c r="S557" s="677"/>
    </row>
    <row r="558" spans="1:19">
      <c r="A558" s="541" t="s">
        <v>1897</v>
      </c>
      <c r="B558" s="541" t="s">
        <v>1898</v>
      </c>
      <c r="C558" s="650">
        <v>199661780</v>
      </c>
      <c r="D558" s="589">
        <v>930145355</v>
      </c>
      <c r="L558" s="677"/>
      <c r="P558" s="677"/>
      <c r="Q558" s="677"/>
      <c r="R558" s="677"/>
      <c r="S558" s="677"/>
    </row>
    <row r="559" spans="1:19">
      <c r="A559" s="541" t="s">
        <v>1704</v>
      </c>
      <c r="B559" s="541" t="s">
        <v>1705</v>
      </c>
      <c r="D559" s="596">
        <v>505470927</v>
      </c>
      <c r="L559" s="677"/>
      <c r="P559" s="677"/>
      <c r="Q559" s="677"/>
      <c r="R559" s="677"/>
      <c r="S559" s="677"/>
    </row>
    <row r="560" spans="1:19">
      <c r="A560" s="541" t="s">
        <v>1706</v>
      </c>
      <c r="B560" s="541" t="s">
        <v>1707</v>
      </c>
      <c r="C560" s="651">
        <v>6001566</v>
      </c>
      <c r="D560" s="596">
        <v>21509178</v>
      </c>
      <c r="L560" s="677"/>
      <c r="P560" s="677"/>
      <c r="Q560" s="677"/>
      <c r="R560" s="677"/>
      <c r="S560" s="677"/>
    </row>
    <row r="561" spans="1:19">
      <c r="A561" s="541"/>
      <c r="B561" s="541" t="s">
        <v>2475</v>
      </c>
      <c r="C561" s="651">
        <v>7559452</v>
      </c>
      <c r="L561" s="677"/>
      <c r="P561" s="677"/>
      <c r="Q561" s="677"/>
      <c r="R561" s="677"/>
      <c r="S561" s="677"/>
    </row>
    <row r="562" spans="1:19">
      <c r="A562" s="541" t="s">
        <v>1702</v>
      </c>
      <c r="B562" s="541" t="s">
        <v>1703</v>
      </c>
      <c r="C562" s="651">
        <f>SUM(C558:C561)</f>
        <v>213222798</v>
      </c>
      <c r="D562" s="596">
        <v>1457125460</v>
      </c>
      <c r="L562" s="677"/>
      <c r="P562" s="677"/>
      <c r="Q562" s="677"/>
      <c r="R562" s="677"/>
      <c r="S562" s="677"/>
    </row>
    <row r="563" spans="1:19">
      <c r="A563" s="541" t="s">
        <v>1708</v>
      </c>
      <c r="B563" s="541" t="s">
        <v>1709</v>
      </c>
      <c r="C563" s="650"/>
      <c r="D563" s="589"/>
      <c r="L563" s="677"/>
      <c r="P563" s="677"/>
      <c r="Q563" s="677"/>
      <c r="R563" s="677"/>
      <c r="S563" s="677"/>
    </row>
    <row r="564" spans="1:19">
      <c r="A564" s="541">
        <v>540111001</v>
      </c>
      <c r="B564" s="541" t="s">
        <v>1711</v>
      </c>
      <c r="C564" s="650">
        <v>29083149</v>
      </c>
      <c r="D564" s="589">
        <v>431542686</v>
      </c>
      <c r="L564" s="677"/>
      <c r="P564" s="677"/>
      <c r="Q564" s="677"/>
      <c r="R564" s="677"/>
      <c r="S564" s="677"/>
    </row>
    <row r="565" spans="1:19">
      <c r="A565" s="599">
        <v>540111013</v>
      </c>
      <c r="B565" s="599" t="s">
        <v>2058</v>
      </c>
      <c r="C565" s="676"/>
      <c r="D565" s="603">
        <v>625457953</v>
      </c>
      <c r="L565" s="677"/>
      <c r="P565" s="677"/>
      <c r="Q565" s="677"/>
      <c r="R565" s="677"/>
      <c r="S565" s="677"/>
    </row>
    <row r="566" spans="1:19">
      <c r="A566" s="541">
        <v>540111150</v>
      </c>
      <c r="B566" s="541" t="s">
        <v>1713</v>
      </c>
      <c r="C566" s="650">
        <v>150000</v>
      </c>
      <c r="D566" s="589">
        <v>29656005</v>
      </c>
      <c r="L566" s="677"/>
      <c r="P566" s="677"/>
      <c r="Q566" s="677"/>
      <c r="R566" s="677"/>
      <c r="S566" s="677"/>
    </row>
    <row r="567" spans="1:19">
      <c r="A567" s="599">
        <v>540111151</v>
      </c>
      <c r="B567" s="599" t="s">
        <v>2059</v>
      </c>
      <c r="C567" s="676"/>
      <c r="D567" s="603">
        <v>82518956</v>
      </c>
      <c r="L567" s="677"/>
      <c r="P567" s="677"/>
      <c r="Q567" s="677"/>
      <c r="R567" s="677"/>
      <c r="S567" s="677"/>
    </row>
    <row r="568" spans="1:19">
      <c r="A568" s="541">
        <v>540111</v>
      </c>
      <c r="B568" s="541" t="s">
        <v>1709</v>
      </c>
      <c r="C568" s="650">
        <f>SUM(C564:C567)</f>
        <v>29233149</v>
      </c>
      <c r="D568" s="589">
        <v>1169175600</v>
      </c>
      <c r="L568" s="677"/>
      <c r="P568" s="677"/>
      <c r="Q568" s="677"/>
      <c r="R568" s="677"/>
      <c r="S568" s="677"/>
    </row>
    <row r="569" spans="1:19">
      <c r="A569" s="541">
        <v>5401</v>
      </c>
      <c r="B569" s="541" t="s">
        <v>1700</v>
      </c>
      <c r="C569" s="651">
        <f>+C568+C562</f>
        <v>242455947</v>
      </c>
      <c r="D569" s="596">
        <v>2626301060</v>
      </c>
      <c r="L569" s="677"/>
      <c r="P569" s="677"/>
      <c r="Q569" s="677"/>
      <c r="R569" s="677"/>
      <c r="S569" s="677"/>
    </row>
    <row r="570" spans="1:19">
      <c r="A570" s="541">
        <v>54</v>
      </c>
      <c r="B570" s="541" t="s">
        <v>1700</v>
      </c>
      <c r="C570" s="650">
        <f>+C569</f>
        <v>242455947</v>
      </c>
      <c r="D570" s="589">
        <v>2626301060</v>
      </c>
      <c r="L570" s="677"/>
      <c r="P570" s="677"/>
      <c r="Q570" s="677"/>
      <c r="R570" s="677"/>
      <c r="S570" s="677"/>
    </row>
    <row r="571" spans="1:19">
      <c r="A571" s="541">
        <v>55</v>
      </c>
      <c r="B571" s="541" t="s">
        <v>2060</v>
      </c>
      <c r="C571" s="650"/>
      <c r="D571" s="589"/>
      <c r="L571" s="677"/>
      <c r="P571" s="677"/>
      <c r="Q571" s="677"/>
      <c r="R571" s="677"/>
      <c r="S571" s="677"/>
    </row>
    <row r="572" spans="1:19">
      <c r="A572" s="541">
        <v>5501</v>
      </c>
      <c r="B572" s="541" t="s">
        <v>2060</v>
      </c>
      <c r="C572" s="650"/>
      <c r="D572" s="589"/>
      <c r="L572" s="677"/>
      <c r="P572" s="677"/>
      <c r="Q572" s="677"/>
      <c r="R572" s="677"/>
      <c r="S572" s="677"/>
    </row>
    <row r="573" spans="1:19">
      <c r="A573" s="541">
        <v>550101</v>
      </c>
      <c r="B573" s="541" t="s">
        <v>2061</v>
      </c>
      <c r="C573" s="650"/>
      <c r="D573" s="589"/>
      <c r="L573" s="677"/>
      <c r="P573" s="677"/>
      <c r="Q573" s="677"/>
      <c r="R573" s="677"/>
      <c r="S573" s="677"/>
    </row>
    <row r="574" spans="1:19">
      <c r="A574" s="541">
        <v>550101001</v>
      </c>
      <c r="B574" s="541" t="s">
        <v>1088</v>
      </c>
      <c r="C574" s="650"/>
      <c r="D574" s="589">
        <v>194095422</v>
      </c>
      <c r="L574" s="677"/>
      <c r="P574" s="677"/>
      <c r="Q574" s="677"/>
      <c r="R574" s="677"/>
      <c r="S574" s="677"/>
    </row>
    <row r="575" spans="1:19">
      <c r="A575" s="541">
        <v>550101</v>
      </c>
      <c r="B575" s="541" t="s">
        <v>2061</v>
      </c>
      <c r="C575" s="650"/>
      <c r="D575" s="589">
        <v>194095422</v>
      </c>
      <c r="L575" s="677"/>
      <c r="P575" s="677"/>
      <c r="Q575" s="677"/>
      <c r="R575" s="677"/>
      <c r="S575" s="677"/>
    </row>
    <row r="576" spans="1:19">
      <c r="A576" s="541">
        <v>5501</v>
      </c>
      <c r="B576" s="541" t="s">
        <v>2060</v>
      </c>
      <c r="C576" s="650"/>
      <c r="D576" s="589">
        <v>194095422</v>
      </c>
      <c r="L576" s="677"/>
      <c r="P576" s="677"/>
      <c r="Q576" s="677"/>
      <c r="R576" s="677"/>
      <c r="S576" s="677"/>
    </row>
    <row r="577" spans="1:19">
      <c r="A577" s="541">
        <v>55</v>
      </c>
      <c r="B577" s="541" t="s">
        <v>2060</v>
      </c>
      <c r="C577" s="650"/>
      <c r="D577" s="589">
        <v>194095422</v>
      </c>
      <c r="L577" s="677"/>
      <c r="P577" s="677"/>
      <c r="Q577" s="677"/>
      <c r="R577" s="677"/>
      <c r="S577" s="677"/>
    </row>
    <row r="578" spans="1:19">
      <c r="A578" s="541">
        <v>5</v>
      </c>
      <c r="B578" s="541" t="s">
        <v>1579</v>
      </c>
      <c r="C578" s="650">
        <f>+C570+C554+C532</f>
        <v>3279293165</v>
      </c>
      <c r="D578" s="589">
        <v>14766627845</v>
      </c>
      <c r="L578" s="677"/>
      <c r="P578" s="677"/>
      <c r="Q578" s="677"/>
      <c r="R578" s="677"/>
      <c r="S578" s="677"/>
    </row>
    <row r="579" spans="1:19">
      <c r="A579" s="541" t="s">
        <v>1394</v>
      </c>
      <c r="B579" s="541" t="s">
        <v>1395</v>
      </c>
      <c r="C579" s="650">
        <f>+C424-C578</f>
        <v>285413031</v>
      </c>
      <c r="D579" s="650"/>
      <c r="L579" s="677"/>
      <c r="P579" s="677"/>
      <c r="Q579" s="677"/>
      <c r="R579" s="677"/>
      <c r="S579" s="677"/>
    </row>
    <row r="580" spans="1:19">
      <c r="A580" s="545" t="s">
        <v>1394</v>
      </c>
      <c r="B580" s="545" t="s">
        <v>1714</v>
      </c>
      <c r="C580" s="651">
        <f>+C275-C579</f>
        <v>60</v>
      </c>
      <c r="D580" s="651"/>
      <c r="L580" s="677"/>
      <c r="P580" s="677"/>
      <c r="Q580" s="677"/>
      <c r="R580" s="677"/>
      <c r="S580" s="677"/>
    </row>
    <row r="581" spans="1:19">
      <c r="L581" s="677"/>
      <c r="P581" s="677"/>
      <c r="Q581" s="677"/>
      <c r="R581" s="677"/>
      <c r="S581" s="677"/>
    </row>
    <row r="582" spans="1:19">
      <c r="L582" s="677"/>
      <c r="P582" s="677"/>
      <c r="Q582" s="677"/>
      <c r="R582" s="677"/>
      <c r="S582" s="677"/>
    </row>
    <row r="583" spans="1:19">
      <c r="L583" s="677"/>
      <c r="P583" s="677"/>
      <c r="Q583" s="677"/>
      <c r="R583" s="677"/>
      <c r="S583" s="677"/>
    </row>
    <row r="584" spans="1:19">
      <c r="L584" s="677"/>
      <c r="P584" s="677"/>
      <c r="Q584" s="677"/>
      <c r="R584" s="677"/>
      <c r="S584" s="677"/>
    </row>
    <row r="585" spans="1:19">
      <c r="L585" s="677"/>
      <c r="P585" s="677"/>
      <c r="Q585" s="677"/>
      <c r="R585" s="677"/>
      <c r="S585" s="677"/>
    </row>
    <row r="586" spans="1:19">
      <c r="L586" s="677"/>
      <c r="P586" s="677"/>
      <c r="Q586" s="677"/>
      <c r="R586" s="677"/>
      <c r="S586" s="677"/>
    </row>
    <row r="587" spans="1:19">
      <c r="L587" s="677"/>
      <c r="P587" s="677"/>
      <c r="Q587" s="677"/>
      <c r="R587" s="677"/>
      <c r="S587" s="677"/>
    </row>
    <row r="588" spans="1:19">
      <c r="L588" s="677"/>
      <c r="P588" s="677"/>
      <c r="Q588" s="677"/>
      <c r="R588" s="677"/>
      <c r="S588" s="677"/>
    </row>
    <row r="589" spans="1:19">
      <c r="L589" s="677"/>
      <c r="P589" s="677"/>
      <c r="Q589" s="677"/>
      <c r="R589" s="677"/>
      <c r="S589" s="677"/>
    </row>
    <row r="590" spans="1:19">
      <c r="L590" s="677"/>
      <c r="P590" s="677"/>
      <c r="Q590" s="677"/>
      <c r="R590" s="677"/>
      <c r="S590" s="677"/>
    </row>
    <row r="591" spans="1:19">
      <c r="L591" s="677"/>
      <c r="P591" s="677"/>
      <c r="Q591" s="677"/>
      <c r="R591" s="677"/>
      <c r="S591" s="677"/>
    </row>
    <row r="592" spans="1:19">
      <c r="L592" s="677"/>
      <c r="P592" s="677"/>
      <c r="Q592" s="677"/>
      <c r="R592" s="677"/>
      <c r="S592" s="677"/>
    </row>
    <row r="593" spans="12:19">
      <c r="L593" s="677"/>
      <c r="P593" s="677"/>
      <c r="Q593" s="677"/>
      <c r="R593" s="677"/>
      <c r="S593" s="677"/>
    </row>
    <row r="594" spans="12:19">
      <c r="L594" s="677"/>
      <c r="P594" s="677"/>
      <c r="Q594" s="677"/>
      <c r="R594" s="677"/>
      <c r="S594" s="677"/>
    </row>
    <row r="595" spans="12:19">
      <c r="L595" s="677"/>
      <c r="P595" s="677"/>
      <c r="Q595" s="677"/>
      <c r="R595" s="677"/>
      <c r="S595" s="677"/>
    </row>
    <row r="596" spans="12:19">
      <c r="L596" s="677"/>
      <c r="P596" s="677"/>
      <c r="Q596" s="677"/>
      <c r="R596" s="677"/>
      <c r="S596" s="677"/>
    </row>
    <row r="597" spans="12:19">
      <c r="L597" s="677"/>
      <c r="P597" s="677"/>
      <c r="Q597" s="677"/>
      <c r="R597" s="677"/>
      <c r="S597" s="677"/>
    </row>
    <row r="598" spans="12:19">
      <c r="L598" s="677"/>
      <c r="P598" s="677"/>
      <c r="Q598" s="677"/>
      <c r="R598" s="677"/>
      <c r="S598" s="677"/>
    </row>
    <row r="599" spans="12:19">
      <c r="L599" s="677"/>
      <c r="P599" s="677"/>
      <c r="Q599" s="677"/>
      <c r="R599" s="677"/>
      <c r="S599" s="677"/>
    </row>
    <row r="600" spans="12:19">
      <c r="L600" s="677"/>
      <c r="P600" s="677"/>
      <c r="Q600" s="677"/>
      <c r="R600" s="677"/>
      <c r="S600" s="677"/>
    </row>
    <row r="601" spans="12:19">
      <c r="L601" s="677"/>
      <c r="P601" s="677"/>
      <c r="Q601" s="677"/>
      <c r="R601" s="677"/>
      <c r="S601" s="677"/>
    </row>
    <row r="602" spans="12:19">
      <c r="L602" s="677"/>
      <c r="P602" s="677"/>
      <c r="Q602" s="677"/>
      <c r="R602" s="677"/>
      <c r="S602" s="677"/>
    </row>
    <row r="603" spans="12:19">
      <c r="L603" s="677"/>
      <c r="P603" s="677"/>
      <c r="Q603" s="677"/>
      <c r="R603" s="677"/>
      <c r="S603" s="677"/>
    </row>
    <row r="604" spans="12:19">
      <c r="L604" s="677"/>
      <c r="P604" s="677"/>
      <c r="Q604" s="677"/>
      <c r="R604" s="677"/>
      <c r="S604" s="677"/>
    </row>
    <row r="605" spans="12:19">
      <c r="L605" s="677"/>
      <c r="P605" s="677"/>
      <c r="Q605" s="677"/>
      <c r="R605" s="677"/>
      <c r="S605" s="677"/>
    </row>
    <row r="606" spans="12:19">
      <c r="L606" s="677"/>
      <c r="P606" s="677"/>
      <c r="Q606" s="677"/>
      <c r="R606" s="677"/>
      <c r="S606" s="677"/>
    </row>
    <row r="607" spans="12:19">
      <c r="L607" s="677"/>
      <c r="P607" s="677"/>
      <c r="Q607" s="677"/>
      <c r="R607" s="677"/>
      <c r="S607" s="677"/>
    </row>
    <row r="608" spans="12:19">
      <c r="L608" s="677"/>
      <c r="P608" s="677"/>
      <c r="Q608" s="677"/>
      <c r="R608" s="677"/>
      <c r="S608" s="677"/>
    </row>
    <row r="609" spans="12:19">
      <c r="L609" s="677"/>
      <c r="P609" s="677"/>
      <c r="Q609" s="677"/>
      <c r="R609" s="677"/>
      <c r="S609" s="677"/>
    </row>
    <row r="610" spans="12:19">
      <c r="L610" s="677"/>
      <c r="P610" s="677"/>
      <c r="Q610" s="677"/>
      <c r="R610" s="677"/>
      <c r="S610" s="677"/>
    </row>
    <row r="611" spans="12:19">
      <c r="L611" s="677"/>
      <c r="P611" s="677"/>
      <c r="Q611" s="677"/>
      <c r="R611" s="677"/>
      <c r="S611" s="677"/>
    </row>
    <row r="612" spans="12:19">
      <c r="L612" s="677"/>
      <c r="P612" s="677"/>
      <c r="Q612" s="677"/>
      <c r="R612" s="677"/>
      <c r="S612" s="677"/>
    </row>
    <row r="613" spans="12:19">
      <c r="L613" s="677"/>
      <c r="P613" s="677"/>
      <c r="Q613" s="677"/>
      <c r="R613" s="677"/>
      <c r="S613" s="677"/>
    </row>
    <row r="614" spans="12:19">
      <c r="L614" s="677"/>
      <c r="P614" s="677"/>
      <c r="Q614" s="677"/>
      <c r="R614" s="677"/>
      <c r="S614" s="677"/>
    </row>
    <row r="615" spans="12:19">
      <c r="L615" s="677"/>
      <c r="P615" s="677"/>
      <c r="Q615" s="677"/>
      <c r="R615" s="677"/>
      <c r="S615" s="677"/>
    </row>
    <row r="616" spans="12:19">
      <c r="L616" s="677"/>
      <c r="P616" s="677"/>
      <c r="Q616" s="677"/>
      <c r="R616" s="677"/>
      <c r="S616" s="677"/>
    </row>
    <row r="617" spans="12:19">
      <c r="L617" s="677"/>
      <c r="P617" s="677"/>
      <c r="Q617" s="677"/>
      <c r="R617" s="677"/>
      <c r="S617" s="677"/>
    </row>
    <row r="618" spans="12:19">
      <c r="L618" s="677"/>
      <c r="P618" s="677"/>
      <c r="Q618" s="677"/>
      <c r="R618" s="677"/>
      <c r="S618" s="677"/>
    </row>
    <row r="619" spans="12:19">
      <c r="L619" s="677"/>
      <c r="P619" s="677"/>
      <c r="Q619" s="677"/>
      <c r="R619" s="677"/>
      <c r="S619" s="677"/>
    </row>
    <row r="620" spans="12:19">
      <c r="L620" s="677"/>
      <c r="P620" s="677"/>
      <c r="Q620" s="677"/>
      <c r="R620" s="677"/>
      <c r="S620" s="677"/>
    </row>
    <row r="621" spans="12:19">
      <c r="L621" s="677"/>
      <c r="P621" s="677"/>
      <c r="Q621" s="677"/>
      <c r="R621" s="677"/>
      <c r="S621" s="677"/>
    </row>
    <row r="622" spans="12:19">
      <c r="L622" s="677"/>
      <c r="P622" s="677"/>
      <c r="Q622" s="677"/>
      <c r="R622" s="677"/>
      <c r="S622" s="677"/>
    </row>
    <row r="623" spans="12:19">
      <c r="L623" s="677"/>
      <c r="P623" s="677"/>
      <c r="Q623" s="677"/>
      <c r="R623" s="677"/>
      <c r="S623" s="677"/>
    </row>
    <row r="624" spans="12:19">
      <c r="L624" s="677"/>
      <c r="P624" s="677"/>
      <c r="Q624" s="677"/>
      <c r="R624" s="677"/>
      <c r="S624" s="677"/>
    </row>
    <row r="625" spans="12:19">
      <c r="L625" s="677"/>
      <c r="P625" s="677"/>
      <c r="Q625" s="677"/>
      <c r="R625" s="677"/>
      <c r="S625" s="677"/>
    </row>
    <row r="626" spans="12:19">
      <c r="L626" s="677"/>
      <c r="P626" s="677"/>
      <c r="Q626" s="677"/>
      <c r="R626" s="677"/>
      <c r="S626" s="677"/>
    </row>
    <row r="627" spans="12:19">
      <c r="L627" s="677"/>
      <c r="P627" s="677"/>
      <c r="Q627" s="677"/>
      <c r="R627" s="677"/>
      <c r="S627" s="677"/>
    </row>
    <row r="628" spans="12:19">
      <c r="L628" s="677"/>
      <c r="P628" s="677"/>
      <c r="Q628" s="677"/>
      <c r="R628" s="677"/>
      <c r="S628" s="677"/>
    </row>
    <row r="629" spans="12:19">
      <c r="L629" s="677"/>
      <c r="P629" s="677"/>
      <c r="Q629" s="677"/>
      <c r="R629" s="677"/>
      <c r="S629" s="677"/>
    </row>
    <row r="630" spans="12:19">
      <c r="L630" s="677"/>
      <c r="P630" s="677"/>
      <c r="Q630" s="677"/>
      <c r="R630" s="677"/>
      <c r="S630" s="677"/>
    </row>
    <row r="631" spans="12:19">
      <c r="L631" s="677"/>
      <c r="P631" s="677"/>
      <c r="Q631" s="677"/>
      <c r="R631" s="677"/>
      <c r="S631" s="677"/>
    </row>
    <row r="632" spans="12:19">
      <c r="L632" s="677"/>
      <c r="P632" s="677"/>
      <c r="Q632" s="677"/>
      <c r="R632" s="677"/>
      <c r="S632" s="677"/>
    </row>
    <row r="633" spans="12:19">
      <c r="L633" s="677"/>
      <c r="P633" s="677"/>
      <c r="Q633" s="677"/>
      <c r="R633" s="677"/>
      <c r="S633" s="677"/>
    </row>
    <row r="634" spans="12:19">
      <c r="L634" s="677"/>
      <c r="P634" s="677"/>
      <c r="Q634" s="677"/>
      <c r="R634" s="677"/>
      <c r="S634" s="677"/>
    </row>
    <row r="635" spans="12:19">
      <c r="L635" s="677"/>
      <c r="P635" s="677"/>
      <c r="Q635" s="677"/>
      <c r="R635" s="677"/>
      <c r="S635" s="677"/>
    </row>
    <row r="636" spans="12:19">
      <c r="L636" s="677"/>
      <c r="P636" s="677"/>
      <c r="Q636" s="677"/>
      <c r="R636" s="677"/>
      <c r="S636" s="677"/>
    </row>
    <row r="637" spans="12:19">
      <c r="L637" s="677"/>
      <c r="P637" s="677"/>
      <c r="Q637" s="677"/>
      <c r="R637" s="677"/>
      <c r="S637" s="677"/>
    </row>
    <row r="638" spans="12:19">
      <c r="L638" s="677"/>
      <c r="P638" s="677"/>
      <c r="Q638" s="677"/>
      <c r="R638" s="677"/>
      <c r="S638" s="677"/>
    </row>
    <row r="639" spans="12:19">
      <c r="L639" s="677"/>
      <c r="P639" s="677"/>
      <c r="Q639" s="677"/>
      <c r="R639" s="677"/>
      <c r="S639" s="677"/>
    </row>
    <row r="640" spans="12:19">
      <c r="L640" s="677"/>
      <c r="P640" s="677"/>
      <c r="Q640" s="677"/>
      <c r="R640" s="677"/>
      <c r="S640" s="677"/>
    </row>
    <row r="641" spans="12:19">
      <c r="L641" s="677"/>
      <c r="P641" s="677"/>
      <c r="Q641" s="677"/>
      <c r="R641" s="677"/>
      <c r="S641" s="677"/>
    </row>
    <row r="642" spans="12:19">
      <c r="L642" s="677"/>
      <c r="P642" s="677"/>
      <c r="Q642" s="677"/>
      <c r="R642" s="677"/>
    </row>
    <row r="643" spans="12:19">
      <c r="L643" s="677"/>
      <c r="P643" s="677"/>
      <c r="Q643" s="677"/>
      <c r="R643" s="677"/>
    </row>
    <row r="644" spans="12:19">
      <c r="L644" s="677"/>
      <c r="P644" s="677"/>
      <c r="Q644" s="677"/>
      <c r="R644" s="677"/>
    </row>
    <row r="645" spans="12:19">
      <c r="L645" s="677"/>
      <c r="P645" s="677"/>
      <c r="Q645" s="677"/>
      <c r="R645" s="677"/>
    </row>
    <row r="646" spans="12:19">
      <c r="L646" s="677"/>
      <c r="P646" s="677"/>
      <c r="Q646" s="677"/>
      <c r="R646" s="677"/>
    </row>
    <row r="647" spans="12:19">
      <c r="L647" s="677"/>
      <c r="P647" s="677"/>
      <c r="Q647" s="677"/>
      <c r="R647" s="677"/>
    </row>
    <row r="648" spans="12:19">
      <c r="L648" s="677"/>
      <c r="P648" s="677"/>
      <c r="Q648" s="677"/>
      <c r="R648" s="677"/>
    </row>
    <row r="649" spans="12:19">
      <c r="L649" s="677"/>
      <c r="P649" s="677"/>
      <c r="Q649" s="677"/>
      <c r="R649" s="677"/>
    </row>
    <row r="650" spans="12:19">
      <c r="L650" s="677"/>
      <c r="P650" s="677"/>
      <c r="Q650" s="677"/>
      <c r="R650" s="677"/>
    </row>
    <row r="651" spans="12:19">
      <c r="L651" s="677"/>
      <c r="P651" s="677"/>
      <c r="Q651" s="677"/>
      <c r="R651" s="677"/>
    </row>
    <row r="652" spans="12:19">
      <c r="L652" s="677"/>
      <c r="P652" s="677"/>
      <c r="Q652" s="677"/>
      <c r="R652" s="677"/>
    </row>
    <row r="653" spans="12:19">
      <c r="L653" s="677"/>
      <c r="P653" s="677"/>
      <c r="Q653" s="677"/>
      <c r="R653" s="677"/>
    </row>
    <row r="654" spans="12:19">
      <c r="L654" s="677"/>
      <c r="P654" s="677"/>
      <c r="Q654" s="677"/>
      <c r="R654" s="677"/>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499984740745262"/>
    <pageSetUpPr fitToPage="1"/>
  </sheetPr>
  <dimension ref="B1:L60"/>
  <sheetViews>
    <sheetView topLeftCell="A13" workbookViewId="0">
      <selection activeCell="E27" sqref="E27"/>
    </sheetView>
  </sheetViews>
  <sheetFormatPr baseColWidth="10" defaultColWidth="11.28515625" defaultRowHeight="12.75"/>
  <cols>
    <col min="1" max="1" width="5.28515625" style="150" customWidth="1"/>
    <col min="2" max="2" width="42.7109375" style="150" customWidth="1"/>
    <col min="3" max="3" width="24.85546875" style="150" customWidth="1"/>
    <col min="4" max="4" width="21" style="150" customWidth="1"/>
    <col min="5" max="5" width="19.7109375" style="150" customWidth="1"/>
    <col min="6" max="6" width="4.85546875" style="150" customWidth="1"/>
    <col min="7" max="7" width="61.7109375" style="150" customWidth="1"/>
    <col min="8" max="8" width="14" style="150" bestFit="1" customWidth="1"/>
    <col min="9" max="9" width="27.85546875" style="150" bestFit="1" customWidth="1"/>
    <col min="10" max="11" width="11.28515625" style="150"/>
    <col min="12" max="12" width="13.85546875" style="150" bestFit="1" customWidth="1"/>
    <col min="13" max="16384" width="11.28515625" style="150"/>
  </cols>
  <sheetData>
    <row r="1" spans="2:9" ht="15">
      <c r="B1" s="156"/>
      <c r="G1" s="157" t="s">
        <v>18</v>
      </c>
    </row>
    <row r="2" spans="2:9" ht="15">
      <c r="B2" s="158" t="s">
        <v>235</v>
      </c>
      <c r="C2" s="158"/>
      <c r="G2" s="157"/>
    </row>
    <row r="3" spans="2:9" ht="89.25">
      <c r="B3" s="159" t="s">
        <v>236</v>
      </c>
      <c r="C3" s="158"/>
      <c r="G3" s="157"/>
    </row>
    <row r="4" spans="2:9">
      <c r="D4" s="160"/>
    </row>
    <row r="5" spans="2:9">
      <c r="B5" s="125" t="s">
        <v>237</v>
      </c>
      <c r="C5" s="125"/>
      <c r="D5" s="161"/>
      <c r="E5" s="161"/>
      <c r="F5" s="161"/>
    </row>
    <row r="6" spans="2:9">
      <c r="B6" s="1" t="s">
        <v>238</v>
      </c>
      <c r="C6" s="1"/>
      <c r="F6" s="160"/>
    </row>
    <row r="7" spans="2:9">
      <c r="B7" s="154"/>
      <c r="C7" s="154"/>
      <c r="D7" s="820" t="s">
        <v>2084</v>
      </c>
      <c r="E7" s="821"/>
      <c r="F7" s="160"/>
    </row>
    <row r="8" spans="2:9">
      <c r="D8" s="162">
        <v>2024</v>
      </c>
      <c r="E8" s="162">
        <v>2023</v>
      </c>
      <c r="F8" s="160"/>
      <c r="G8" s="163" t="s">
        <v>239</v>
      </c>
      <c r="H8" s="164">
        <v>45382</v>
      </c>
      <c r="I8" s="165"/>
    </row>
    <row r="9" spans="2:9">
      <c r="B9" s="166" t="s">
        <v>240</v>
      </c>
      <c r="C9" s="166" t="s">
        <v>241</v>
      </c>
      <c r="D9" s="178">
        <f>+'2024'!C44+'2024'!C48</f>
        <v>269160642</v>
      </c>
      <c r="E9" s="178">
        <v>845640880</v>
      </c>
      <c r="F9" s="160"/>
      <c r="G9" s="167" t="s">
        <v>242</v>
      </c>
      <c r="H9" s="168" t="s">
        <v>243</v>
      </c>
      <c r="I9" s="168" t="s">
        <v>244</v>
      </c>
    </row>
    <row r="10" spans="2:9">
      <c r="B10" s="166" t="s">
        <v>240</v>
      </c>
      <c r="C10" s="166" t="s">
        <v>245</v>
      </c>
      <c r="D10" s="178">
        <f>+'2024'!C45</f>
        <v>484627616</v>
      </c>
      <c r="E10" s="178">
        <v>812546144</v>
      </c>
      <c r="F10" s="160"/>
      <c r="G10" s="169" t="s">
        <v>246</v>
      </c>
      <c r="H10" s="554">
        <f>173908329+411513906+71904452+121274665</f>
        <v>778601352</v>
      </c>
      <c r="I10" s="170"/>
    </row>
    <row r="11" spans="2:9">
      <c r="B11" s="166" t="s">
        <v>240</v>
      </c>
      <c r="C11" s="166" t="s">
        <v>247</v>
      </c>
      <c r="D11" s="178"/>
      <c r="E11" s="178"/>
      <c r="F11" s="160"/>
      <c r="G11" s="171" t="s">
        <v>248</v>
      </c>
      <c r="H11" s="172">
        <f>+D9-H10+D10+D18+D19</f>
        <v>168366023</v>
      </c>
      <c r="I11" s="173"/>
    </row>
    <row r="12" spans="2:9">
      <c r="B12" s="166" t="s">
        <v>249</v>
      </c>
      <c r="C12" s="166" t="s">
        <v>241</v>
      </c>
      <c r="D12" s="178"/>
      <c r="E12" s="178"/>
      <c r="F12" s="160"/>
      <c r="G12" s="174" t="s">
        <v>250</v>
      </c>
      <c r="H12" s="172"/>
      <c r="I12" s="173"/>
    </row>
    <row r="13" spans="2:9">
      <c r="B13" s="166" t="s">
        <v>249</v>
      </c>
      <c r="C13" s="166" t="s">
        <v>245</v>
      </c>
      <c r="D13" s="178"/>
      <c r="E13" s="178"/>
      <c r="F13" s="160"/>
      <c r="G13" s="166" t="s">
        <v>251</v>
      </c>
      <c r="H13" s="172"/>
      <c r="I13" s="173"/>
    </row>
    <row r="14" spans="2:9">
      <c r="B14" s="166" t="s">
        <v>249</v>
      </c>
      <c r="C14" s="166" t="s">
        <v>247</v>
      </c>
      <c r="D14" s="178"/>
      <c r="E14" s="178"/>
      <c r="F14" s="160"/>
      <c r="G14" s="166" t="s">
        <v>252</v>
      </c>
      <c r="H14" s="172">
        <v>9072000</v>
      </c>
      <c r="I14" s="173"/>
    </row>
    <row r="15" spans="2:9">
      <c r="B15" s="166" t="s">
        <v>253</v>
      </c>
      <c r="C15" s="166" t="s">
        <v>241</v>
      </c>
      <c r="D15" s="178"/>
      <c r="E15" s="178"/>
      <c r="F15" s="160"/>
      <c r="G15" s="166" t="s">
        <v>254</v>
      </c>
      <c r="H15" s="172">
        <f>+H11-H14</f>
        <v>159294023</v>
      </c>
      <c r="I15" s="173"/>
    </row>
    <row r="16" spans="2:9">
      <c r="B16" s="166" t="s">
        <v>253</v>
      </c>
      <c r="C16" s="166" t="s">
        <v>245</v>
      </c>
      <c r="D16" s="178"/>
      <c r="E16" s="178"/>
      <c r="F16" s="160"/>
      <c r="G16" s="169"/>
      <c r="H16" s="175"/>
      <c r="I16" s="176"/>
    </row>
    <row r="17" spans="2:12">
      <c r="B17" s="166" t="s">
        <v>253</v>
      </c>
      <c r="C17" s="166" t="s">
        <v>247</v>
      </c>
      <c r="D17" s="178"/>
      <c r="E17" s="178"/>
      <c r="F17" s="160"/>
      <c r="G17" s="177" t="s">
        <v>255</v>
      </c>
      <c r="H17" s="178">
        <f>H10+H11</f>
        <v>946967375</v>
      </c>
      <c r="I17" s="179"/>
    </row>
    <row r="18" spans="2:12">
      <c r="B18" s="166" t="s">
        <v>256</v>
      </c>
      <c r="C18" s="166" t="s">
        <v>241</v>
      </c>
      <c r="D18" s="178">
        <f>+'2024'!C47</f>
        <v>71904452</v>
      </c>
      <c r="E18" s="178">
        <v>71904452</v>
      </c>
      <c r="F18" s="160">
        <v>0</v>
      </c>
      <c r="G18" s="169"/>
      <c r="H18" s="175"/>
      <c r="I18" s="176"/>
    </row>
    <row r="19" spans="2:12">
      <c r="B19" s="166" t="s">
        <v>256</v>
      </c>
      <c r="C19" s="166" t="s">
        <v>245</v>
      </c>
      <c r="D19" s="178">
        <f>+'2024'!C46</f>
        <v>121274665</v>
      </c>
      <c r="E19" s="178">
        <v>15936316</v>
      </c>
      <c r="F19" s="160"/>
      <c r="G19" s="180" t="s">
        <v>257</v>
      </c>
      <c r="H19" s="181">
        <f>D26+D53</f>
        <v>0</v>
      </c>
      <c r="I19" s="182"/>
    </row>
    <row r="20" spans="2:12">
      <c r="B20" s="166" t="s">
        <v>256</v>
      </c>
      <c r="C20" s="166" t="s">
        <v>247</v>
      </c>
      <c r="D20" s="178"/>
      <c r="E20" s="178"/>
      <c r="F20" s="160"/>
      <c r="G20" s="169"/>
      <c r="H20" s="183"/>
      <c r="I20" s="184"/>
    </row>
    <row r="21" spans="2:12">
      <c r="B21" s="166" t="s">
        <v>258</v>
      </c>
      <c r="C21" s="166" t="s">
        <v>241</v>
      </c>
      <c r="D21" s="178"/>
      <c r="E21" s="178"/>
      <c r="F21" s="160"/>
      <c r="G21" s="185" t="s">
        <v>259</v>
      </c>
      <c r="H21" s="186">
        <f>H17+H19</f>
        <v>946967375</v>
      </c>
      <c r="I21" s="178"/>
    </row>
    <row r="22" spans="2:12">
      <c r="B22" s="166" t="s">
        <v>258</v>
      </c>
      <c r="C22" s="166" t="s">
        <v>245</v>
      </c>
      <c r="D22" s="178"/>
      <c r="E22" s="178"/>
      <c r="F22" s="160"/>
      <c r="G22" s="169"/>
      <c r="H22" s="187"/>
    </row>
    <row r="23" spans="2:12" ht="15" customHeight="1">
      <c r="B23" s="166" t="s">
        <v>881</v>
      </c>
      <c r="C23" s="166" t="s">
        <v>241</v>
      </c>
      <c r="D23" s="178">
        <v>0</v>
      </c>
      <c r="E23" s="178">
        <v>0</v>
      </c>
      <c r="F23" s="160"/>
      <c r="G23" s="188" t="s">
        <v>261</v>
      </c>
      <c r="H23" s="17"/>
      <c r="I23" s="18"/>
      <c r="L23" s="490">
        <f>+D27-H21</f>
        <v>0</v>
      </c>
    </row>
    <row r="24" spans="2:12">
      <c r="B24" s="166" t="s">
        <v>882</v>
      </c>
      <c r="C24" s="166" t="s">
        <v>245</v>
      </c>
      <c r="D24" s="178">
        <v>0</v>
      </c>
      <c r="E24" s="178">
        <v>0</v>
      </c>
      <c r="F24" s="160"/>
      <c r="G24" s="189" t="s">
        <v>262</v>
      </c>
      <c r="H24" s="190" t="s">
        <v>263</v>
      </c>
      <c r="I24" s="190" t="s">
        <v>264</v>
      </c>
    </row>
    <row r="25" spans="2:12">
      <c r="B25" s="166" t="s">
        <v>260</v>
      </c>
      <c r="C25" s="166" t="s">
        <v>247</v>
      </c>
      <c r="D25" s="178"/>
      <c r="E25" s="178"/>
      <c r="F25" s="160"/>
      <c r="G25" s="169" t="s">
        <v>251</v>
      </c>
      <c r="H25" s="191">
        <v>1</v>
      </c>
      <c r="I25" s="191">
        <v>90</v>
      </c>
    </row>
    <row r="26" spans="2:12">
      <c r="B26" s="166" t="s">
        <v>265</v>
      </c>
      <c r="C26" s="166"/>
      <c r="D26" s="178">
        <v>0</v>
      </c>
      <c r="E26" s="178">
        <v>0</v>
      </c>
      <c r="F26" s="160"/>
      <c r="G26" s="169" t="s">
        <v>252</v>
      </c>
      <c r="H26" s="191">
        <v>91</v>
      </c>
      <c r="I26" s="191">
        <v>180</v>
      </c>
    </row>
    <row r="27" spans="2:12">
      <c r="B27" s="166" t="s">
        <v>161</v>
      </c>
      <c r="C27" s="166"/>
      <c r="D27" s="417">
        <f>+SUM($D$9:D26)</f>
        <v>946967375</v>
      </c>
      <c r="E27" s="417">
        <f>+SUM($E$9:E26)</f>
        <v>1746027792</v>
      </c>
      <c r="F27" s="160"/>
      <c r="G27" s="169" t="s">
        <v>254</v>
      </c>
      <c r="H27" s="191">
        <v>181</v>
      </c>
      <c r="I27" s="191">
        <v>10000</v>
      </c>
    </row>
    <row r="28" spans="2:12">
      <c r="B28" s="1"/>
      <c r="C28" s="1"/>
      <c r="F28" s="160"/>
    </row>
    <row r="29" spans="2:12">
      <c r="B29" s="154"/>
      <c r="C29" s="154"/>
      <c r="F29" s="160"/>
    </row>
    <row r="30" spans="2:12">
      <c r="B30" s="1" t="s">
        <v>266</v>
      </c>
      <c r="C30" s="1"/>
      <c r="F30" s="160"/>
    </row>
    <row r="31" spans="2:12">
      <c r="B31" s="154"/>
      <c r="C31" s="154"/>
      <c r="D31" s="820" t="str">
        <f>+D7</f>
        <v>En guaraníes</v>
      </c>
      <c r="E31" s="821"/>
      <c r="F31" s="160"/>
    </row>
    <row r="32" spans="2:12">
      <c r="D32" s="162">
        <f>+D8</f>
        <v>2024</v>
      </c>
      <c r="E32" s="162">
        <f>+E8</f>
        <v>2023</v>
      </c>
      <c r="F32" s="160"/>
    </row>
    <row r="33" spans="2:7" hidden="1">
      <c r="B33" s="166" t="s">
        <v>240</v>
      </c>
      <c r="C33" s="166" t="s">
        <v>241</v>
      </c>
      <c r="D33" s="178"/>
      <c r="E33" s="178"/>
    </row>
    <row r="34" spans="2:7" ht="15" hidden="1" customHeight="1">
      <c r="B34" s="166" t="s">
        <v>240</v>
      </c>
      <c r="C34" s="166" t="s">
        <v>245</v>
      </c>
      <c r="D34" s="178"/>
      <c r="E34" s="178"/>
    </row>
    <row r="35" spans="2:7" hidden="1">
      <c r="B35" s="166" t="s">
        <v>240</v>
      </c>
      <c r="C35" s="166" t="s">
        <v>247</v>
      </c>
      <c r="D35" s="178"/>
      <c r="E35" s="178"/>
    </row>
    <row r="36" spans="2:7" hidden="1">
      <c r="B36" s="166" t="s">
        <v>249</v>
      </c>
      <c r="C36" s="166" t="s">
        <v>241</v>
      </c>
      <c r="D36" s="178"/>
      <c r="E36" s="178"/>
    </row>
    <row r="37" spans="2:7" hidden="1">
      <c r="B37" s="166" t="s">
        <v>249</v>
      </c>
      <c r="C37" s="166" t="s">
        <v>245</v>
      </c>
      <c r="D37" s="178"/>
      <c r="E37" s="178"/>
    </row>
    <row r="38" spans="2:7" hidden="1">
      <c r="B38" s="166" t="s">
        <v>249</v>
      </c>
      <c r="C38" s="166" t="s">
        <v>247</v>
      </c>
      <c r="D38" s="178"/>
      <c r="E38" s="178"/>
    </row>
    <row r="39" spans="2:7" hidden="1">
      <c r="B39" s="166" t="s">
        <v>253</v>
      </c>
      <c r="C39" s="166" t="s">
        <v>241</v>
      </c>
      <c r="D39" s="178"/>
      <c r="E39" s="178"/>
    </row>
    <row r="40" spans="2:7" hidden="1">
      <c r="B40" s="166" t="s">
        <v>253</v>
      </c>
      <c r="C40" s="166" t="s">
        <v>245</v>
      </c>
      <c r="D40" s="178"/>
      <c r="E40" s="178"/>
    </row>
    <row r="41" spans="2:7" hidden="1">
      <c r="B41" s="166" t="s">
        <v>253</v>
      </c>
      <c r="C41" s="166" t="s">
        <v>247</v>
      </c>
      <c r="D41" s="178"/>
      <c r="E41" s="178"/>
    </row>
    <row r="42" spans="2:7" hidden="1">
      <c r="B42" s="166" t="s">
        <v>256</v>
      </c>
      <c r="C42" s="166" t="s">
        <v>241</v>
      </c>
      <c r="D42" s="178">
        <v>0</v>
      </c>
      <c r="E42" s="178">
        <v>0</v>
      </c>
    </row>
    <row r="43" spans="2:7">
      <c r="B43" s="166" t="s">
        <v>256</v>
      </c>
      <c r="C43" s="166" t="s">
        <v>245</v>
      </c>
      <c r="D43" s="178">
        <v>0</v>
      </c>
      <c r="E43" s="178"/>
    </row>
    <row r="44" spans="2:7">
      <c r="B44" s="166" t="s">
        <v>256</v>
      </c>
      <c r="C44" s="166" t="s">
        <v>247</v>
      </c>
      <c r="D44" s="178"/>
      <c r="E44" s="178"/>
      <c r="G44" s="490"/>
    </row>
    <row r="45" spans="2:7">
      <c r="B45" s="166" t="s">
        <v>267</v>
      </c>
      <c r="C45" s="166" t="s">
        <v>241</v>
      </c>
      <c r="D45" s="178">
        <v>0</v>
      </c>
      <c r="E45" s="178">
        <v>0</v>
      </c>
    </row>
    <row r="46" spans="2:7">
      <c r="B46" s="166" t="s">
        <v>267</v>
      </c>
      <c r="C46" s="166" t="s">
        <v>245</v>
      </c>
      <c r="D46" s="178">
        <v>0</v>
      </c>
      <c r="E46" s="178">
        <v>0</v>
      </c>
      <c r="G46" s="490"/>
    </row>
    <row r="47" spans="2:7">
      <c r="B47" s="166" t="s">
        <v>267</v>
      </c>
      <c r="C47" s="166" t="s">
        <v>247</v>
      </c>
      <c r="D47" s="178"/>
      <c r="E47" s="178"/>
    </row>
    <row r="48" spans="2:7" hidden="1">
      <c r="B48" s="166" t="s">
        <v>258</v>
      </c>
      <c r="C48" s="166" t="s">
        <v>241</v>
      </c>
      <c r="D48" s="178"/>
      <c r="E48" s="178"/>
    </row>
    <row r="49" spans="2:6" hidden="1">
      <c r="B49" s="166" t="s">
        <v>258</v>
      </c>
      <c r="C49" s="166" t="s">
        <v>245</v>
      </c>
      <c r="D49" s="178"/>
      <c r="E49" s="178"/>
    </row>
    <row r="50" spans="2:6" hidden="1">
      <c r="B50" s="166" t="s">
        <v>260</v>
      </c>
      <c r="C50" s="166" t="s">
        <v>241</v>
      </c>
      <c r="D50" s="178"/>
      <c r="E50" s="178"/>
    </row>
    <row r="51" spans="2:6" hidden="1">
      <c r="B51" s="166" t="s">
        <v>260</v>
      </c>
      <c r="C51" s="166" t="s">
        <v>245</v>
      </c>
      <c r="D51" s="178"/>
      <c r="E51" s="178"/>
    </row>
    <row r="52" spans="2:6">
      <c r="B52" s="166" t="s">
        <v>260</v>
      </c>
      <c r="C52" s="166" t="s">
        <v>247</v>
      </c>
      <c r="D52" s="178"/>
      <c r="E52" s="178"/>
    </row>
    <row r="53" spans="2:6">
      <c r="B53" s="166" t="s">
        <v>265</v>
      </c>
      <c r="C53" s="166"/>
      <c r="D53" s="178">
        <v>0</v>
      </c>
      <c r="E53" s="178">
        <v>0</v>
      </c>
    </row>
    <row r="54" spans="2:6">
      <c r="B54" s="166" t="s">
        <v>161</v>
      </c>
      <c r="C54" s="166"/>
      <c r="D54" s="417">
        <f>+SUM($D$33:D53)</f>
        <v>0</v>
      </c>
      <c r="E54" s="417">
        <f>+SUM($E$33:E53)</f>
        <v>0</v>
      </c>
    </row>
    <row r="55" spans="2:6">
      <c r="C55" s="158"/>
      <c r="D55" s="158"/>
      <c r="E55" s="158"/>
    </row>
    <row r="56" spans="2:6">
      <c r="B56" s="158"/>
      <c r="C56" s="158"/>
      <c r="D56" s="158"/>
      <c r="E56" s="158"/>
    </row>
    <row r="57" spans="2:6">
      <c r="B57" s="158"/>
      <c r="C57" s="158"/>
      <c r="D57" s="158"/>
      <c r="E57" s="158"/>
      <c r="F57" s="158"/>
    </row>
    <row r="58" spans="2:6">
      <c r="F58" s="158"/>
    </row>
    <row r="59" spans="2:6">
      <c r="F59" s="158"/>
    </row>
    <row r="60" spans="2:6">
      <c r="F60" s="158"/>
    </row>
  </sheetData>
  <mergeCells count="2">
    <mergeCell ref="D7:E7"/>
    <mergeCell ref="D31:E31"/>
  </mergeCells>
  <hyperlinks>
    <hyperlink ref="G1" location="BG!A1" display="BG" xr:uid="{00000000-0004-0000-0E00-000000000000}"/>
  </hyperlinks>
  <pageMargins left="0.25" right="0.25" top="0.75" bottom="0.75" header="0.3" footer="0.3"/>
  <pageSetup paperSize="9" scale="58" fitToWidth="0" orientation="landscape"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499984740745262"/>
    <pageSetUpPr fitToPage="1"/>
  </sheetPr>
  <dimension ref="A1:G41"/>
  <sheetViews>
    <sheetView showGridLines="0" topLeftCell="A10" workbookViewId="0">
      <selection activeCell="C16" activeCellId="1" sqref="C11 C16"/>
    </sheetView>
  </sheetViews>
  <sheetFormatPr baseColWidth="10" defaultColWidth="11.28515625" defaultRowHeight="12.75"/>
  <cols>
    <col min="1" max="1" width="44.140625" style="1" bestFit="1" customWidth="1"/>
    <col min="2" max="2" width="20.85546875" style="1" customWidth="1"/>
    <col min="3" max="3" width="14.85546875" style="1" bestFit="1" customWidth="1"/>
    <col min="4" max="4" width="3.28515625" style="1" bestFit="1" customWidth="1"/>
    <col min="5" max="5" width="38.85546875" style="1" bestFit="1" customWidth="1"/>
    <col min="6" max="6" width="18.28515625" style="1" bestFit="1" customWidth="1"/>
    <col min="7" max="7" width="14.28515625" style="1" customWidth="1"/>
    <col min="8" max="16384" width="11.28515625" style="1"/>
  </cols>
  <sheetData>
    <row r="1" spans="1:7" ht="15">
      <c r="A1" s="126" t="s">
        <v>1916</v>
      </c>
      <c r="D1" s="124" t="s">
        <v>18</v>
      </c>
    </row>
    <row r="2" spans="1:7">
      <c r="A2" s="126"/>
    </row>
    <row r="3" spans="1:7">
      <c r="A3" s="126"/>
    </row>
    <row r="4" spans="1:7">
      <c r="A4" s="125" t="s">
        <v>268</v>
      </c>
      <c r="B4" s="125"/>
      <c r="C4" s="125"/>
    </row>
    <row r="5" spans="1:7">
      <c r="A5" s="192" t="s">
        <v>2085</v>
      </c>
      <c r="B5" s="192"/>
    </row>
    <row r="6" spans="1:7">
      <c r="A6" s="1" t="s">
        <v>269</v>
      </c>
    </row>
    <row r="8" spans="1:7">
      <c r="A8" s="156" t="s">
        <v>270</v>
      </c>
      <c r="B8" s="150"/>
      <c r="C8" s="150"/>
      <c r="E8" s="156" t="s">
        <v>271</v>
      </c>
      <c r="F8" s="193"/>
      <c r="G8" s="150"/>
    </row>
    <row r="9" spans="1:7">
      <c r="A9" s="150"/>
      <c r="E9" s="150"/>
      <c r="F9" s="194"/>
      <c r="G9" s="194"/>
    </row>
    <row r="10" spans="1:7">
      <c r="A10" s="195" t="s">
        <v>219</v>
      </c>
      <c r="B10" s="196">
        <v>2024</v>
      </c>
      <c r="C10" s="196">
        <v>2023</v>
      </c>
      <c r="E10" s="195" t="s">
        <v>219</v>
      </c>
      <c r="F10" s="196">
        <f>+B10</f>
        <v>2024</v>
      </c>
      <c r="G10" s="196">
        <f>+C10</f>
        <v>2023</v>
      </c>
    </row>
    <row r="11" spans="1:7">
      <c r="A11" s="150" t="s">
        <v>1211</v>
      </c>
      <c r="B11" s="697">
        <f>+'2024'!C51</f>
        <v>4587722946</v>
      </c>
      <c r="C11" s="371">
        <v>3820854771</v>
      </c>
      <c r="E11" s="150" t="s">
        <v>272</v>
      </c>
      <c r="F11" s="558">
        <f>+'2024'!C68</f>
        <v>24000000</v>
      </c>
      <c r="G11" s="558">
        <v>24000000</v>
      </c>
    </row>
    <row r="12" spans="1:7">
      <c r="A12" s="150" t="s">
        <v>273</v>
      </c>
      <c r="B12" s="697">
        <f>+'2024'!C72</f>
        <v>349999997</v>
      </c>
      <c r="C12" s="371">
        <v>199999998</v>
      </c>
      <c r="E12" s="150" t="s">
        <v>979</v>
      </c>
      <c r="F12" s="500">
        <f>+'2024'!C190</f>
        <v>0</v>
      </c>
      <c r="G12" s="558">
        <v>22204801</v>
      </c>
    </row>
    <row r="13" spans="1:7">
      <c r="A13" s="150" t="s">
        <v>1857</v>
      </c>
      <c r="B13" s="697">
        <f>+'2024'!C58</f>
        <v>261721</v>
      </c>
      <c r="C13" s="371">
        <v>243233</v>
      </c>
      <c r="E13" s="150" t="s">
        <v>978</v>
      </c>
      <c r="F13" s="197"/>
      <c r="G13" s="281"/>
    </row>
    <row r="14" spans="1:7">
      <c r="A14" s="150" t="s">
        <v>274</v>
      </c>
      <c r="B14" s="697">
        <f>+'2024'!C57</f>
        <v>60427827</v>
      </c>
      <c r="C14" s="371">
        <v>60427827</v>
      </c>
      <c r="E14" s="150" t="s">
        <v>273</v>
      </c>
      <c r="F14" s="199">
        <f>+'2024'!C191</f>
        <v>0</v>
      </c>
      <c r="G14" s="557">
        <v>200000000</v>
      </c>
    </row>
    <row r="15" spans="1:7" ht="13.5" thickBot="1">
      <c r="A15" s="150" t="s">
        <v>275</v>
      </c>
      <c r="B15" s="697">
        <f>+'2024'!C55+'2024'!C56</f>
        <v>34343681</v>
      </c>
      <c r="C15" s="371">
        <v>247037</v>
      </c>
      <c r="E15" s="156" t="s">
        <v>161</v>
      </c>
      <c r="F15" s="200">
        <f>SUM(F11:F14)</f>
        <v>24000000</v>
      </c>
      <c r="G15" s="200">
        <f>SUM(G11:G14)</f>
        <v>246204801</v>
      </c>
    </row>
    <row r="16" spans="1:7" ht="13.5" thickTop="1">
      <c r="A16" s="150" t="s">
        <v>1716</v>
      </c>
      <c r="B16" s="698">
        <f>+'2024'!C70</f>
        <v>5954228</v>
      </c>
      <c r="C16" s="371">
        <v>10567652</v>
      </c>
      <c r="E16" s="156"/>
      <c r="F16" s="201"/>
      <c r="G16" s="201"/>
    </row>
    <row r="17" spans="1:7" hidden="1">
      <c r="A17" s="150" t="s">
        <v>1858</v>
      </c>
      <c r="B17" s="698">
        <f>+'2024'!C65</f>
        <v>0</v>
      </c>
      <c r="C17" s="371"/>
      <c r="E17" s="156"/>
      <c r="F17" s="201"/>
      <c r="G17" s="201"/>
    </row>
    <row r="18" spans="1:7">
      <c r="A18" s="150" t="s">
        <v>883</v>
      </c>
      <c r="B18" s="698">
        <f>+'2024'!C62</f>
        <v>12604644</v>
      </c>
      <c r="C18" s="371">
        <v>6261744</v>
      </c>
      <c r="E18" s="156"/>
      <c r="F18" s="201"/>
      <c r="G18" s="201"/>
    </row>
    <row r="19" spans="1:7">
      <c r="A19" s="150" t="s">
        <v>978</v>
      </c>
      <c r="B19" s="698">
        <f>+'2024'!C189</f>
        <v>54770210</v>
      </c>
      <c r="C19" s="371">
        <v>47609816</v>
      </c>
      <c r="E19" s="156"/>
      <c r="F19" s="201"/>
      <c r="G19" s="201"/>
    </row>
    <row r="20" spans="1:7">
      <c r="A20" s="150" t="s">
        <v>979</v>
      </c>
      <c r="B20" s="698">
        <f>+'2024'!C71</f>
        <v>68435219</v>
      </c>
      <c r="C20" s="371">
        <v>66798429</v>
      </c>
      <c r="E20" s="156"/>
      <c r="F20" s="201"/>
      <c r="G20" s="201"/>
    </row>
    <row r="21" spans="1:7">
      <c r="A21" s="150" t="s">
        <v>1917</v>
      </c>
      <c r="B21" s="698">
        <f>+'2024'!C69</f>
        <v>0</v>
      </c>
      <c r="C21" s="371">
        <v>8394975</v>
      </c>
      <c r="E21" s="156"/>
      <c r="F21" s="201"/>
      <c r="G21" s="201"/>
    </row>
    <row r="22" spans="1:7" hidden="1">
      <c r="A22" s="150" t="s">
        <v>1832</v>
      </c>
      <c r="B22" s="698">
        <f>+'2024'!C52</f>
        <v>0</v>
      </c>
      <c r="C22" s="371">
        <v>0</v>
      </c>
      <c r="E22" s="156"/>
      <c r="F22" s="201"/>
      <c r="G22" s="201"/>
    </row>
    <row r="23" spans="1:7">
      <c r="A23" s="150" t="s">
        <v>1852</v>
      </c>
      <c r="B23" s="698">
        <f>+'2024'!C59</f>
        <v>13989733</v>
      </c>
      <c r="C23" s="371">
        <v>13989733</v>
      </c>
    </row>
    <row r="24" spans="1:7">
      <c r="A24" s="150" t="s">
        <v>1918</v>
      </c>
      <c r="B24" s="408">
        <f>+'2024'!C73</f>
        <v>1457676</v>
      </c>
      <c r="C24" s="371">
        <v>1457676</v>
      </c>
    </row>
    <row r="25" spans="1:7" ht="13.5" thickBot="1">
      <c r="A25" s="156" t="s">
        <v>161</v>
      </c>
      <c r="B25" s="200">
        <f>SUM($B$11:B24)</f>
        <v>5189967882</v>
      </c>
      <c r="C25" s="200">
        <f>SUM($C$11:C24)</f>
        <v>4236852891</v>
      </c>
    </row>
    <row r="26" spans="1:7" ht="13.5" thickTop="1">
      <c r="A26" s="156"/>
      <c r="B26" s="201"/>
      <c r="C26" s="201"/>
    </row>
    <row r="27" spans="1:7">
      <c r="B27" s="202"/>
      <c r="C27" s="202"/>
    </row>
    <row r="34" spans="1:7" ht="15">
      <c r="E34"/>
      <c r="F34"/>
      <c r="G34"/>
    </row>
    <row r="35" spans="1:7" customFormat="1" ht="15">
      <c r="A35" s="1"/>
      <c r="B35" s="1"/>
      <c r="C35" s="1"/>
    </row>
    <row r="36" spans="1:7" customFormat="1" ht="15">
      <c r="A36" s="1"/>
      <c r="B36" s="1"/>
      <c r="C36" s="1"/>
    </row>
    <row r="37" spans="1:7" customFormat="1" ht="15"/>
    <row r="38" spans="1:7" customFormat="1" ht="15"/>
    <row r="39" spans="1:7" customFormat="1" ht="15">
      <c r="E39" s="1"/>
      <c r="F39" s="1"/>
      <c r="G39" s="1"/>
    </row>
    <row r="40" spans="1:7" ht="15">
      <c r="A40"/>
      <c r="B40"/>
      <c r="C40"/>
    </row>
    <row r="41" spans="1:7" ht="15">
      <c r="A41"/>
      <c r="B41"/>
      <c r="C41"/>
    </row>
  </sheetData>
  <hyperlinks>
    <hyperlink ref="D1" location="BG!A1" display="BG" xr:uid="{00000000-0004-0000-0F00-000000000000}"/>
  </hyperlinks>
  <pageMargins left="0.25" right="0.25" top="0.75" bottom="0.75" header="0.3" footer="0.3"/>
  <pageSetup paperSize="9" scale="59" fitToHeight="0" orientation="portrait" r:id="rId1"/>
  <ignoredErrors>
    <ignoredError sqref="F15:G15" formulaRange="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499984740745262"/>
    <pageSetUpPr fitToPage="1"/>
  </sheetPr>
  <dimension ref="A1:G16"/>
  <sheetViews>
    <sheetView showGridLines="0" topLeftCell="A4" workbookViewId="0">
      <selection activeCell="B10" sqref="B10"/>
    </sheetView>
  </sheetViews>
  <sheetFormatPr baseColWidth="10" defaultRowHeight="15"/>
  <cols>
    <col min="1" max="1" width="50.140625" customWidth="1"/>
    <col min="2" max="2" width="19" customWidth="1"/>
    <col min="3" max="3" width="16.7109375" customWidth="1"/>
  </cols>
  <sheetData>
    <row r="1" spans="1:7">
      <c r="D1" s="124" t="s">
        <v>18</v>
      </c>
    </row>
    <row r="4" spans="1:7">
      <c r="A4" s="794" t="s">
        <v>276</v>
      </c>
      <c r="B4" s="794"/>
      <c r="C4" s="794"/>
    </row>
    <row r="5" spans="1:7">
      <c r="D5" t="s">
        <v>139</v>
      </c>
    </row>
    <row r="6" spans="1:7">
      <c r="A6" s="127" t="s">
        <v>277</v>
      </c>
      <c r="B6" s="127"/>
      <c r="C6" s="127"/>
      <c r="D6" s="127"/>
      <c r="E6" s="127"/>
      <c r="F6" s="127"/>
      <c r="G6" s="127"/>
    </row>
    <row r="7" spans="1:7" ht="15" customHeight="1">
      <c r="B7" s="819" t="s">
        <v>2083</v>
      </c>
      <c r="C7" s="819"/>
    </row>
    <row r="8" spans="1:7">
      <c r="A8" s="195" t="s">
        <v>219</v>
      </c>
      <c r="B8" s="196">
        <v>2024</v>
      </c>
      <c r="C8" s="196">
        <v>2023</v>
      </c>
    </row>
    <row r="9" spans="1:7">
      <c r="A9" s="203" t="s">
        <v>278</v>
      </c>
      <c r="B9" s="198">
        <f>+'2024'!C137-'2024'!C135</f>
        <v>15692599893</v>
      </c>
      <c r="C9" s="204">
        <v>13883728459</v>
      </c>
    </row>
    <row r="10" spans="1:7">
      <c r="A10" s="203" t="s">
        <v>279</v>
      </c>
      <c r="B10" s="198"/>
      <c r="C10" s="204"/>
    </row>
    <row r="11" spans="1:7">
      <c r="A11" s="203" t="s">
        <v>280</v>
      </c>
      <c r="B11" s="198"/>
      <c r="C11" s="204"/>
    </row>
    <row r="12" spans="1:7">
      <c r="A12" s="203" t="s">
        <v>281</v>
      </c>
      <c r="B12" s="198"/>
      <c r="C12" s="204"/>
    </row>
    <row r="13" spans="1:7">
      <c r="A13" s="203" t="s">
        <v>966</v>
      </c>
      <c r="B13" s="198">
        <f>+'2024'!C135</f>
        <v>1694898832</v>
      </c>
      <c r="C13" s="204">
        <v>1648425174</v>
      </c>
    </row>
    <row r="14" spans="1:7" ht="15" customHeight="1">
      <c r="A14" s="205" t="s">
        <v>282</v>
      </c>
      <c r="B14" s="198"/>
      <c r="C14" s="204"/>
    </row>
    <row r="15" spans="1:7" ht="15.75" thickBot="1">
      <c r="A15" s="156" t="s">
        <v>283</v>
      </c>
      <c r="B15" s="206">
        <f>SUM(B9:B14)</f>
        <v>17387498725</v>
      </c>
      <c r="C15" s="206">
        <f>SUM(C9:C14)</f>
        <v>15532153633</v>
      </c>
    </row>
    <row r="16" spans="1:7" ht="15.75" thickTop="1"/>
  </sheetData>
  <mergeCells count="2">
    <mergeCell ref="A4:C4"/>
    <mergeCell ref="B7:C7"/>
  </mergeCells>
  <hyperlinks>
    <hyperlink ref="D1" location="BG!A1" display="BG" xr:uid="{00000000-0004-0000-1000-000000000000}"/>
  </hyperlinks>
  <pageMargins left="0.25" right="0.25" top="0.75" bottom="0.75" header="0.3" footer="0.3"/>
  <pageSetup paperSize="9"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499984740745262"/>
    <pageSetUpPr fitToPage="1"/>
  </sheetPr>
  <dimension ref="A1:AD23"/>
  <sheetViews>
    <sheetView topLeftCell="A4" workbookViewId="0">
      <selection activeCell="A6" sqref="A6"/>
    </sheetView>
  </sheetViews>
  <sheetFormatPr baseColWidth="10" defaultRowHeight="15"/>
  <cols>
    <col min="1" max="1" width="14.140625" style="133" customWidth="1"/>
    <col min="2" max="2" width="14.28515625" style="133" customWidth="1"/>
    <col min="3" max="3" width="19.140625" style="133" customWidth="1"/>
    <col min="4" max="4" width="15.42578125" style="133" customWidth="1"/>
    <col min="5" max="5" width="17.42578125" style="133" customWidth="1"/>
    <col min="6" max="6" width="3.28515625" style="133" customWidth="1"/>
    <col min="7" max="7" width="12.85546875" style="133" customWidth="1"/>
    <col min="8" max="8" width="19.5703125" style="133" customWidth="1"/>
    <col min="9" max="9" width="13.5703125" style="133" customWidth="1"/>
    <col min="10" max="10" width="25" style="133" customWidth="1"/>
    <col min="11" max="11" width="20" style="133" customWidth="1"/>
    <col min="12" max="12" width="15.7109375" style="133" customWidth="1"/>
    <col min="13" max="30" width="11.5703125" style="133" customWidth="1"/>
  </cols>
  <sheetData>
    <row r="1" spans="1:12">
      <c r="B1" s="153"/>
      <c r="D1" s="153" t="s">
        <v>18</v>
      </c>
    </row>
    <row r="4" spans="1:12">
      <c r="A4" s="794" t="s">
        <v>284</v>
      </c>
      <c r="B4" s="794"/>
      <c r="C4" s="794"/>
      <c r="D4" s="794"/>
      <c r="E4" s="794"/>
      <c r="F4" s="794"/>
    </row>
    <row r="5" spans="1:12" s="210" customFormat="1">
      <c r="A5" s="207" t="s">
        <v>2086</v>
      </c>
      <c r="B5" s="208"/>
      <c r="C5" s="209"/>
      <c r="D5" s="209"/>
      <c r="E5" s="209"/>
      <c r="F5" s="209"/>
    </row>
    <row r="6" spans="1:12">
      <c r="A6" s="133" t="s">
        <v>285</v>
      </c>
    </row>
    <row r="7" spans="1:12">
      <c r="A7" s="133" t="s">
        <v>286</v>
      </c>
      <c r="B7" s="211">
        <v>2023</v>
      </c>
      <c r="C7" s="212">
        <v>2022</v>
      </c>
    </row>
    <row r="8" spans="1:12">
      <c r="A8" s="133" t="s">
        <v>287</v>
      </c>
      <c r="B8" s="213">
        <f>SUM($I$13:I18)</f>
        <v>0</v>
      </c>
      <c r="C8" s="25">
        <v>0</v>
      </c>
      <c r="D8" s="214" t="s">
        <v>288</v>
      </c>
    </row>
    <row r="10" spans="1:12">
      <c r="A10" s="133" t="s">
        <v>289</v>
      </c>
      <c r="D10"/>
      <c r="E10"/>
      <c r="G10" s="133" t="s">
        <v>290</v>
      </c>
    </row>
    <row r="11" spans="1:12">
      <c r="D11" s="215">
        <v>2023</v>
      </c>
      <c r="E11" s="216"/>
    </row>
    <row r="12" spans="1:12" ht="42.6" customHeight="1">
      <c r="A12" s="217" t="s">
        <v>291</v>
      </c>
      <c r="B12" s="218" t="s">
        <v>292</v>
      </c>
      <c r="C12" s="217" t="s">
        <v>293</v>
      </c>
      <c r="D12" s="219" t="s">
        <v>294</v>
      </c>
      <c r="E12" s="219" t="s">
        <v>295</v>
      </c>
      <c r="G12" s="217" t="s">
        <v>293</v>
      </c>
      <c r="H12" s="217" t="s">
        <v>296</v>
      </c>
      <c r="I12" s="217" t="s">
        <v>297</v>
      </c>
      <c r="J12" s="217" t="s">
        <v>298</v>
      </c>
      <c r="K12" s="217" t="s">
        <v>299</v>
      </c>
      <c r="L12" s="217" t="s">
        <v>300</v>
      </c>
    </row>
    <row r="13" spans="1:12">
      <c r="A13" s="220"/>
      <c r="B13" s="220"/>
      <c r="C13" s="220"/>
      <c r="D13" s="220"/>
      <c r="E13" s="220"/>
      <c r="G13" s="220"/>
      <c r="H13" s="220"/>
      <c r="I13" s="220"/>
      <c r="J13" s="220"/>
      <c r="K13" s="221">
        <f t="shared" ref="K13:K18" si="0">J13*D13</f>
        <v>0</v>
      </c>
      <c r="L13" s="221">
        <f t="shared" ref="L13:L18" si="1">J13*E13</f>
        <v>0</v>
      </c>
    </row>
    <row r="14" spans="1:12">
      <c r="A14" s="222"/>
      <c r="B14" s="222"/>
      <c r="C14" s="222"/>
      <c r="D14" s="222"/>
      <c r="E14" s="222"/>
      <c r="G14" s="222"/>
      <c r="H14" s="222"/>
      <c r="I14" s="222"/>
      <c r="J14" s="220"/>
      <c r="K14" s="221">
        <f t="shared" si="0"/>
        <v>0</v>
      </c>
      <c r="L14" s="221">
        <f t="shared" si="1"/>
        <v>0</v>
      </c>
    </row>
    <row r="15" spans="1:12">
      <c r="A15" s="222"/>
      <c r="B15" s="222"/>
      <c r="C15" s="222"/>
      <c r="D15" s="222"/>
      <c r="E15" s="222"/>
      <c r="G15" s="222"/>
      <c r="H15" s="222"/>
      <c r="I15" s="222"/>
      <c r="J15" s="220"/>
      <c r="K15" s="221">
        <f t="shared" si="0"/>
        <v>0</v>
      </c>
      <c r="L15" s="221">
        <f t="shared" si="1"/>
        <v>0</v>
      </c>
    </row>
    <row r="16" spans="1:12">
      <c r="A16" s="222"/>
      <c r="B16" s="222"/>
      <c r="C16" s="222"/>
      <c r="D16" s="222"/>
      <c r="E16" s="222"/>
      <c r="G16" s="222"/>
      <c r="H16" s="222"/>
      <c r="I16" s="222"/>
      <c r="J16" s="220"/>
      <c r="K16" s="221">
        <f t="shared" si="0"/>
        <v>0</v>
      </c>
      <c r="L16" s="221">
        <f t="shared" si="1"/>
        <v>0</v>
      </c>
    </row>
    <row r="17" spans="1:12">
      <c r="A17" s="222"/>
      <c r="B17" s="222"/>
      <c r="C17" s="222"/>
      <c r="D17" s="222"/>
      <c r="E17" s="222"/>
      <c r="G17" s="222"/>
      <c r="H17" s="222"/>
      <c r="I17" s="222"/>
      <c r="J17" s="220"/>
      <c r="K17" s="221">
        <f t="shared" si="0"/>
        <v>0</v>
      </c>
      <c r="L17" s="221">
        <f t="shared" si="1"/>
        <v>0</v>
      </c>
    </row>
    <row r="18" spans="1:12">
      <c r="A18" s="222"/>
      <c r="B18" s="222"/>
      <c r="C18" s="222"/>
      <c r="D18" s="222"/>
      <c r="E18" s="222"/>
      <c r="G18" s="222"/>
      <c r="H18" s="222"/>
      <c r="I18" s="222"/>
      <c r="J18" s="220"/>
      <c r="K18" s="221">
        <f t="shared" si="0"/>
        <v>0</v>
      </c>
      <c r="L18" s="221">
        <f t="shared" si="1"/>
        <v>0</v>
      </c>
    </row>
    <row r="23" spans="1:12" ht="15" customHeight="1"/>
  </sheetData>
  <mergeCells count="1">
    <mergeCell ref="A4:F4"/>
  </mergeCells>
  <hyperlinks>
    <hyperlink ref="D1" location="BG!A1" display="BG" xr:uid="{00000000-0004-0000-1100-000000000000}"/>
  </hyperlinks>
  <pageMargins left="0.25" right="0.25" top="0.75" bottom="0.75" header="0.3" footer="0.3"/>
  <pageSetup paperSize="9" scale="74"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499984740745262"/>
    <pageSetUpPr fitToPage="1"/>
  </sheetPr>
  <dimension ref="A1:CX43"/>
  <sheetViews>
    <sheetView topLeftCell="A23" zoomScaleNormal="100" workbookViewId="0">
      <pane xSplit="1" topLeftCell="B1" activePane="topRight" state="frozen"/>
      <selection activeCell="A13" sqref="A13"/>
      <selection pane="topRight" activeCell="C21" sqref="C21"/>
    </sheetView>
  </sheetViews>
  <sheetFormatPr baseColWidth="10" defaultRowHeight="15"/>
  <cols>
    <col min="1" max="1" width="27" style="133" customWidth="1"/>
    <col min="2" max="2" width="16.28515625" style="133" customWidth="1"/>
    <col min="3" max="3" width="13.7109375" style="133" customWidth="1"/>
    <col min="4" max="4" width="12" style="133" bestFit="1" customWidth="1"/>
    <col min="5" max="5" width="10.28515625" style="133" bestFit="1" customWidth="1"/>
    <col min="6" max="6" width="14.5703125" style="133" bestFit="1" customWidth="1"/>
    <col min="7" max="7" width="15.7109375" style="133" customWidth="1"/>
    <col min="8" max="8" width="16" style="133" customWidth="1"/>
    <col min="9" max="9" width="14.42578125" style="133" customWidth="1"/>
    <col min="10" max="10" width="11.42578125" style="133" customWidth="1"/>
    <col min="11" max="11" width="16.85546875" style="133" customWidth="1"/>
    <col min="12" max="12" width="15.85546875" style="133" bestFit="1" customWidth="1"/>
    <col min="13" max="13" width="14.28515625" style="133" bestFit="1" customWidth="1"/>
    <col min="14" max="30" width="11.5703125" style="133" customWidth="1"/>
  </cols>
  <sheetData>
    <row r="1" spans="1:102">
      <c r="L1" s="153" t="s">
        <v>18</v>
      </c>
    </row>
    <row r="5" spans="1:102">
      <c r="A5" s="223" t="s">
        <v>301</v>
      </c>
    </row>
    <row r="6" spans="1:102">
      <c r="A6" s="133" t="s">
        <v>302</v>
      </c>
    </row>
    <row r="7" spans="1:102">
      <c r="A7" s="133" t="s">
        <v>303</v>
      </c>
    </row>
    <row r="8" spans="1:102">
      <c r="A8" s="133" t="s">
        <v>304</v>
      </c>
    </row>
    <row r="9" spans="1:102">
      <c r="A9" s="133" t="s">
        <v>305</v>
      </c>
    </row>
    <row r="10" spans="1:102">
      <c r="A10" s="133" t="s">
        <v>306</v>
      </c>
    </row>
    <row r="12" spans="1:102" ht="24.75" customHeight="1">
      <c r="A12" s="822" t="s">
        <v>307</v>
      </c>
      <c r="B12" s="823"/>
      <c r="C12" s="823"/>
      <c r="D12" s="823"/>
      <c r="E12" s="823"/>
      <c r="F12" s="823"/>
      <c r="G12" s="823"/>
      <c r="H12" s="823"/>
      <c r="I12" s="823"/>
      <c r="J12" s="823"/>
      <c r="K12" s="823"/>
      <c r="L12" s="823"/>
      <c r="M12" s="824"/>
      <c r="N12" s="224"/>
      <c r="O12" s="224"/>
      <c r="P12" s="224"/>
      <c r="Q12" s="224"/>
      <c r="R12" s="224"/>
      <c r="S12" s="224"/>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row>
    <row r="13" spans="1:102">
      <c r="A13" s="225" t="s">
        <v>2084</v>
      </c>
      <c r="B13" s="224"/>
      <c r="C13" s="224"/>
      <c r="D13" s="224"/>
      <c r="E13" s="224"/>
      <c r="F13" s="224"/>
      <c r="G13" s="224"/>
      <c r="H13" s="224"/>
      <c r="I13" s="224"/>
      <c r="J13" s="226">
        <v>-1</v>
      </c>
      <c r="K13" s="224"/>
      <c r="L13" s="224"/>
      <c r="M13" s="224"/>
      <c r="N13" s="224"/>
      <c r="O13" s="224"/>
      <c r="P13" s="224"/>
      <c r="Q13" s="224"/>
      <c r="R13" s="224"/>
      <c r="S13" s="224"/>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row>
    <row r="14" spans="1:102" s="210" customFormat="1">
      <c r="B14" s="227"/>
      <c r="C14" s="227"/>
      <c r="D14" s="227"/>
      <c r="E14" s="227"/>
      <c r="F14" s="227"/>
      <c r="G14" s="227"/>
      <c r="H14" s="227"/>
      <c r="I14" s="227"/>
      <c r="J14" s="227"/>
      <c r="K14" s="227"/>
      <c r="L14" s="227"/>
      <c r="M14" s="227"/>
      <c r="N14" s="228"/>
      <c r="O14" s="228"/>
      <c r="P14" s="228"/>
      <c r="Q14" s="228"/>
      <c r="R14" s="228"/>
      <c r="S14" s="228"/>
    </row>
    <row r="15" spans="1:102" s="233" customFormat="1" ht="48">
      <c r="A15" s="229"/>
      <c r="B15" s="230" t="s">
        <v>308</v>
      </c>
      <c r="C15" s="230" t="s">
        <v>309</v>
      </c>
      <c r="D15" s="230" t="s">
        <v>310</v>
      </c>
      <c r="E15" s="230" t="s">
        <v>311</v>
      </c>
      <c r="F15" s="230" t="s">
        <v>312</v>
      </c>
      <c r="G15" s="230" t="s">
        <v>313</v>
      </c>
      <c r="H15" s="230" t="s">
        <v>314</v>
      </c>
      <c r="I15" s="230" t="s">
        <v>315</v>
      </c>
      <c r="J15" s="230" t="s">
        <v>316</v>
      </c>
      <c r="K15" s="230" t="s">
        <v>317</v>
      </c>
      <c r="L15" s="231" t="s">
        <v>318</v>
      </c>
      <c r="M15" s="232"/>
      <c r="N15" s="228"/>
      <c r="O15" s="228"/>
      <c r="P15" s="228"/>
      <c r="Q15" s="228"/>
      <c r="R15" s="228"/>
      <c r="S15" s="228"/>
      <c r="T15" s="210"/>
      <c r="U15" s="210"/>
      <c r="V15" s="210"/>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10"/>
      <c r="AV15" s="210"/>
      <c r="AW15" s="210"/>
      <c r="AX15" s="210"/>
      <c r="AY15" s="210"/>
      <c r="AZ15" s="210"/>
      <c r="BA15" s="210"/>
      <c r="BB15" s="210"/>
      <c r="BC15" s="210"/>
      <c r="BD15" s="210"/>
      <c r="BE15" s="210"/>
      <c r="BF15" s="210"/>
      <c r="BG15" s="210"/>
      <c r="BH15" s="210"/>
      <c r="BI15" s="210"/>
      <c r="BJ15" s="210"/>
      <c r="BK15" s="210"/>
      <c r="BL15" s="210"/>
      <c r="BM15" s="210"/>
      <c r="BN15" s="210"/>
      <c r="BO15" s="210"/>
      <c r="BP15" s="210"/>
      <c r="BQ15" s="210"/>
      <c r="BR15" s="210"/>
      <c r="BS15" s="210"/>
      <c r="BT15" s="210"/>
      <c r="BU15" s="210"/>
      <c r="BV15" s="210"/>
      <c r="BW15" s="210"/>
      <c r="BX15" s="210"/>
      <c r="BY15" s="210"/>
      <c r="BZ15" s="210"/>
      <c r="CA15" s="210"/>
      <c r="CB15" s="210"/>
      <c r="CC15" s="210"/>
      <c r="CD15" s="210"/>
      <c r="CE15" s="210"/>
      <c r="CF15" s="210"/>
      <c r="CG15" s="210"/>
      <c r="CH15" s="210"/>
      <c r="CI15" s="210"/>
      <c r="CJ15" s="210"/>
      <c r="CK15" s="210"/>
      <c r="CL15" s="210"/>
      <c r="CM15" s="210"/>
      <c r="CN15" s="210"/>
      <c r="CO15" s="210"/>
      <c r="CP15" s="210"/>
      <c r="CQ15" s="210"/>
      <c r="CR15" s="210"/>
      <c r="CS15" s="210"/>
      <c r="CT15" s="210"/>
      <c r="CU15" s="210"/>
      <c r="CV15" s="210"/>
      <c r="CW15" s="210"/>
      <c r="CX15" s="210"/>
    </row>
    <row r="16" spans="1:102" s="233" customFormat="1">
      <c r="A16" s="234"/>
      <c r="B16" s="235"/>
      <c r="C16" s="235"/>
      <c r="D16" s="235"/>
      <c r="E16" s="235"/>
      <c r="F16" s="235"/>
      <c r="G16" s="235"/>
      <c r="H16" s="235"/>
      <c r="I16" s="235"/>
      <c r="J16" s="235"/>
      <c r="K16" s="235"/>
      <c r="L16" s="236">
        <v>2024</v>
      </c>
      <c r="M16" s="237">
        <v>2023</v>
      </c>
      <c r="N16" s="228"/>
      <c r="O16" s="228"/>
      <c r="P16" s="228"/>
      <c r="Q16" s="228"/>
      <c r="R16" s="228"/>
      <c r="S16" s="228"/>
      <c r="T16" s="210"/>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0"/>
      <c r="AW16" s="210"/>
      <c r="AX16" s="210"/>
      <c r="AY16" s="210"/>
      <c r="AZ16" s="210"/>
      <c r="BA16" s="210"/>
      <c r="BB16" s="210"/>
      <c r="BC16" s="210"/>
      <c r="BD16" s="210"/>
      <c r="BE16" s="210"/>
      <c r="BF16" s="210"/>
      <c r="BG16" s="210"/>
      <c r="BH16" s="210"/>
      <c r="BI16" s="210"/>
      <c r="BJ16" s="210"/>
      <c r="BK16" s="210"/>
      <c r="BL16" s="210"/>
      <c r="BM16" s="210"/>
      <c r="BN16" s="210"/>
      <c r="BO16" s="210"/>
      <c r="BP16" s="210"/>
      <c r="BQ16" s="210"/>
      <c r="BR16" s="210"/>
      <c r="BS16" s="210"/>
      <c r="BT16" s="210"/>
      <c r="BU16" s="210"/>
      <c r="BV16" s="210"/>
      <c r="BW16" s="210"/>
      <c r="BX16" s="210"/>
      <c r="BY16" s="210"/>
      <c r="BZ16" s="210"/>
      <c r="CA16" s="210"/>
      <c r="CB16" s="210"/>
      <c r="CC16" s="210"/>
      <c r="CD16" s="210"/>
      <c r="CE16" s="210"/>
      <c r="CF16" s="210"/>
      <c r="CG16" s="210"/>
      <c r="CH16" s="210"/>
      <c r="CI16" s="210"/>
      <c r="CJ16" s="210"/>
      <c r="CK16" s="210"/>
      <c r="CL16" s="210"/>
      <c r="CM16" s="210"/>
      <c r="CN16" s="210"/>
      <c r="CO16" s="210"/>
      <c r="CP16" s="210"/>
      <c r="CQ16" s="210"/>
      <c r="CR16" s="210"/>
      <c r="CS16" s="210"/>
      <c r="CT16" s="210"/>
      <c r="CU16" s="210"/>
      <c r="CV16" s="210"/>
      <c r="CW16" s="210"/>
      <c r="CX16" s="210"/>
    </row>
    <row r="17" spans="1:62">
      <c r="A17" s="238" t="s">
        <v>319</v>
      </c>
      <c r="B17" s="400">
        <f>+M17</f>
        <v>0</v>
      </c>
      <c r="C17" s="560">
        <v>0</v>
      </c>
      <c r="D17" s="418">
        <v>0</v>
      </c>
      <c r="E17" s="400">
        <v>0</v>
      </c>
      <c r="F17" s="372">
        <f>+B17+C17-D17+E17</f>
        <v>0</v>
      </c>
      <c r="G17" s="372">
        <v>0</v>
      </c>
      <c r="H17" s="559">
        <v>0</v>
      </c>
      <c r="I17" s="400">
        <v>0</v>
      </c>
      <c r="J17" s="400">
        <v>0</v>
      </c>
      <c r="K17" s="400">
        <f t="shared" ref="K17:K40" si="0">+H17+G17-I17+J17</f>
        <v>0</v>
      </c>
      <c r="L17" s="372">
        <f t="shared" ref="L17:L28" si="1">+F17-H17</f>
        <v>0</v>
      </c>
      <c r="M17" s="372">
        <v>0</v>
      </c>
      <c r="N17" s="239"/>
      <c r="O17" s="224"/>
      <c r="P17" s="224"/>
      <c r="Q17" s="224"/>
      <c r="R17" s="224"/>
      <c r="S17" s="224"/>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row>
    <row r="18" spans="1:62">
      <c r="A18" s="238" t="s">
        <v>320</v>
      </c>
      <c r="B18" s="400">
        <f t="shared" ref="B18:B40" si="2">+M18</f>
        <v>289630240</v>
      </c>
      <c r="C18" s="560"/>
      <c r="D18" s="419">
        <v>0</v>
      </c>
      <c r="E18" s="400">
        <v>0</v>
      </c>
      <c r="F18" s="372">
        <f>+B18+C18-D18+E18</f>
        <v>289630240</v>
      </c>
      <c r="G18" s="372">
        <v>560947564</v>
      </c>
      <c r="H18" s="559">
        <f>(77003615/12)*3</f>
        <v>19250903.75</v>
      </c>
      <c r="I18" s="372">
        <v>0</v>
      </c>
      <c r="J18" s="400">
        <v>0</v>
      </c>
      <c r="K18" s="400">
        <f>+H18+G18-I18+J18</f>
        <v>580198467.75</v>
      </c>
      <c r="L18" s="372">
        <f>+F18-H18</f>
        <v>270379336.25</v>
      </c>
      <c r="M18" s="372">
        <v>289630240</v>
      </c>
      <c r="N18" s="224"/>
      <c r="O18" s="224"/>
      <c r="P18" s="224"/>
      <c r="Q18" s="224"/>
      <c r="R18" s="224"/>
      <c r="S18" s="224"/>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row>
    <row r="19" spans="1:62">
      <c r="A19" s="238" t="s">
        <v>913</v>
      </c>
      <c r="B19" s="400">
        <f t="shared" si="2"/>
        <v>72066234</v>
      </c>
      <c r="C19" s="560">
        <v>0</v>
      </c>
      <c r="D19" s="401">
        <v>0</v>
      </c>
      <c r="E19" s="400">
        <v>0</v>
      </c>
      <c r="F19" s="372">
        <f t="shared" ref="F19:F40" si="3">+B19+C19-D19+E19</f>
        <v>72066234</v>
      </c>
      <c r="G19" s="372">
        <v>356513181</v>
      </c>
      <c r="H19" s="559">
        <f>(11278433/12)*3</f>
        <v>2819608.25</v>
      </c>
      <c r="I19" s="400">
        <v>0</v>
      </c>
      <c r="J19" s="400">
        <v>0</v>
      </c>
      <c r="K19" s="400">
        <f t="shared" si="0"/>
        <v>359332789.25</v>
      </c>
      <c r="L19" s="372">
        <f t="shared" si="1"/>
        <v>69246625.75</v>
      </c>
      <c r="M19" s="372">
        <v>72066234</v>
      </c>
      <c r="N19" s="498"/>
      <c r="O19" s="224"/>
      <c r="P19" s="224"/>
      <c r="Q19" s="224"/>
      <c r="R19" s="224"/>
      <c r="S19" s="224"/>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row>
    <row r="20" spans="1:62">
      <c r="A20" s="238" t="s">
        <v>969</v>
      </c>
      <c r="B20" s="400">
        <f t="shared" si="2"/>
        <v>37237795</v>
      </c>
      <c r="C20" s="561">
        <v>483877</v>
      </c>
      <c r="D20" s="419">
        <v>0</v>
      </c>
      <c r="E20" s="400">
        <v>0</v>
      </c>
      <c r="F20" s="372">
        <f t="shared" si="3"/>
        <v>37721672</v>
      </c>
      <c r="G20" s="372">
        <v>411725407</v>
      </c>
      <c r="H20" s="559">
        <f>(10116853/12)*3</f>
        <v>2529213.25</v>
      </c>
      <c r="I20" s="372">
        <v>0</v>
      </c>
      <c r="J20" s="400">
        <v>0</v>
      </c>
      <c r="K20" s="400">
        <f t="shared" si="0"/>
        <v>414254620.25</v>
      </c>
      <c r="L20" s="372">
        <f t="shared" si="1"/>
        <v>35192458.75</v>
      </c>
      <c r="M20" s="372">
        <v>37237795</v>
      </c>
      <c r="N20" s="224"/>
      <c r="O20" s="224"/>
      <c r="P20" s="224"/>
      <c r="Q20" s="224"/>
      <c r="R20" s="224"/>
      <c r="S20" s="224"/>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row>
    <row r="21" spans="1:62">
      <c r="A21" s="238" t="s">
        <v>321</v>
      </c>
      <c r="B21" s="400">
        <f t="shared" si="2"/>
        <v>0</v>
      </c>
      <c r="C21" s="562"/>
      <c r="D21" s="401">
        <v>0</v>
      </c>
      <c r="E21" s="400">
        <v>0</v>
      </c>
      <c r="F21" s="372">
        <f t="shared" si="3"/>
        <v>0</v>
      </c>
      <c r="G21" s="372">
        <v>0</v>
      </c>
      <c r="H21" s="559">
        <v>0</v>
      </c>
      <c r="I21" s="400">
        <v>0</v>
      </c>
      <c r="J21" s="400">
        <v>0</v>
      </c>
      <c r="K21" s="400">
        <f t="shared" si="0"/>
        <v>0</v>
      </c>
      <c r="L21" s="372">
        <f t="shared" si="1"/>
        <v>0</v>
      </c>
      <c r="M21" s="372">
        <v>0</v>
      </c>
      <c r="N21" s="224"/>
      <c r="O21" s="224"/>
      <c r="P21" s="224"/>
      <c r="Q21" s="224"/>
      <c r="R21" s="224"/>
      <c r="S21" s="224"/>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row>
    <row r="22" spans="1:62" hidden="1">
      <c r="A22" s="238" t="s">
        <v>322</v>
      </c>
      <c r="B22" s="400">
        <f t="shared" si="2"/>
        <v>0</v>
      </c>
      <c r="C22" s="560"/>
      <c r="D22" s="419">
        <v>0</v>
      </c>
      <c r="E22" s="400">
        <v>0</v>
      </c>
      <c r="F22" s="372">
        <f t="shared" si="3"/>
        <v>0</v>
      </c>
      <c r="G22" s="372">
        <v>0</v>
      </c>
      <c r="H22" s="559">
        <v>0</v>
      </c>
      <c r="I22" s="372">
        <v>0</v>
      </c>
      <c r="J22" s="400">
        <v>0</v>
      </c>
      <c r="K22" s="400">
        <f t="shared" si="0"/>
        <v>0</v>
      </c>
      <c r="L22" s="372">
        <f t="shared" si="1"/>
        <v>0</v>
      </c>
      <c r="M22" s="372">
        <v>0</v>
      </c>
      <c r="N22" s="224"/>
      <c r="O22" s="224"/>
      <c r="P22" s="224"/>
      <c r="Q22" s="224"/>
      <c r="R22" s="224"/>
      <c r="S22" s="224"/>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row>
    <row r="23" spans="1:62">
      <c r="A23" s="238" t="s">
        <v>323</v>
      </c>
      <c r="B23" s="400">
        <f t="shared" si="2"/>
        <v>0</v>
      </c>
      <c r="C23" s="561">
        <v>0</v>
      </c>
      <c r="D23" s="400">
        <v>0</v>
      </c>
      <c r="E23" s="400">
        <v>0</v>
      </c>
      <c r="F23" s="372">
        <f t="shared" si="3"/>
        <v>0</v>
      </c>
      <c r="G23" s="372">
        <v>0</v>
      </c>
      <c r="H23" s="559">
        <v>0</v>
      </c>
      <c r="I23" s="400">
        <v>0</v>
      </c>
      <c r="J23" s="400">
        <v>0</v>
      </c>
      <c r="K23" s="400">
        <f t="shared" si="0"/>
        <v>0</v>
      </c>
      <c r="L23" s="372">
        <f t="shared" si="1"/>
        <v>0</v>
      </c>
      <c r="M23" s="372">
        <v>0</v>
      </c>
      <c r="N23" s="224"/>
      <c r="O23" s="224"/>
      <c r="P23" s="224"/>
      <c r="Q23" s="224"/>
      <c r="R23" s="224"/>
      <c r="S23" s="224"/>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3"/>
    </row>
    <row r="24" spans="1:62">
      <c r="A24" s="238" t="s">
        <v>884</v>
      </c>
      <c r="B24" s="400">
        <f t="shared" si="2"/>
        <v>0</v>
      </c>
      <c r="C24" s="562"/>
      <c r="D24" s="401">
        <v>0</v>
      </c>
      <c r="E24" s="400">
        <v>0</v>
      </c>
      <c r="F24" s="372">
        <f t="shared" si="3"/>
        <v>0</v>
      </c>
      <c r="G24" s="372">
        <v>0</v>
      </c>
      <c r="H24" s="559">
        <v>0</v>
      </c>
      <c r="I24" s="372">
        <v>0</v>
      </c>
      <c r="J24" s="400">
        <v>0</v>
      </c>
      <c r="K24" s="400">
        <f t="shared" si="0"/>
        <v>0</v>
      </c>
      <c r="L24" s="372">
        <f t="shared" si="1"/>
        <v>0</v>
      </c>
      <c r="M24" s="372">
        <v>0</v>
      </c>
      <c r="N24" s="224"/>
      <c r="O24" s="224"/>
      <c r="P24" s="224"/>
      <c r="Q24" s="224"/>
      <c r="R24" s="224"/>
      <c r="S24" s="224"/>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row>
    <row r="25" spans="1:62">
      <c r="A25" s="238" t="s">
        <v>885</v>
      </c>
      <c r="B25" s="400">
        <f t="shared" si="2"/>
        <v>0</v>
      </c>
      <c r="C25" s="562"/>
      <c r="D25" s="401">
        <v>0</v>
      </c>
      <c r="E25" s="400">
        <v>0</v>
      </c>
      <c r="F25" s="372">
        <f t="shared" si="3"/>
        <v>0</v>
      </c>
      <c r="G25" s="372">
        <v>0</v>
      </c>
      <c r="H25" s="559">
        <v>0</v>
      </c>
      <c r="I25" s="372">
        <v>0</v>
      </c>
      <c r="J25" s="400">
        <v>0</v>
      </c>
      <c r="K25" s="400">
        <f t="shared" si="0"/>
        <v>0</v>
      </c>
      <c r="L25" s="372">
        <f t="shared" si="1"/>
        <v>0</v>
      </c>
      <c r="M25" s="372">
        <v>0</v>
      </c>
      <c r="N25" s="224"/>
      <c r="O25" s="224"/>
      <c r="P25" s="224"/>
      <c r="Q25" s="224"/>
      <c r="R25" s="224"/>
      <c r="S25" s="224"/>
      <c r="AE25" s="133"/>
      <c r="AF25" s="133"/>
      <c r="AG25" s="133"/>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133"/>
      <c r="BF25" s="133"/>
      <c r="BG25" s="133"/>
      <c r="BH25" s="133"/>
      <c r="BI25" s="133"/>
      <c r="BJ25" s="133"/>
    </row>
    <row r="26" spans="1:62">
      <c r="A26" s="238" t="s">
        <v>886</v>
      </c>
      <c r="B26" s="400">
        <f t="shared" si="2"/>
        <v>3758097600</v>
      </c>
      <c r="C26" s="562"/>
      <c r="D26" s="401">
        <v>0</v>
      </c>
      <c r="E26" s="400">
        <v>0</v>
      </c>
      <c r="F26" s="372">
        <f t="shared" si="3"/>
        <v>3758097600</v>
      </c>
      <c r="G26" s="372">
        <v>0</v>
      </c>
      <c r="H26" s="559">
        <v>0</v>
      </c>
      <c r="I26" s="372">
        <v>0</v>
      </c>
      <c r="J26" s="400">
        <v>0</v>
      </c>
      <c r="K26" s="400">
        <f t="shared" si="0"/>
        <v>0</v>
      </c>
      <c r="L26" s="372">
        <f t="shared" si="1"/>
        <v>3758097600</v>
      </c>
      <c r="M26" s="372">
        <v>3758097600</v>
      </c>
      <c r="N26" s="224"/>
      <c r="O26" s="224"/>
      <c r="P26" s="224"/>
      <c r="Q26" s="224"/>
      <c r="R26" s="224"/>
      <c r="S26" s="224"/>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row>
    <row r="27" spans="1:62">
      <c r="A27" s="238" t="s">
        <v>887</v>
      </c>
      <c r="B27" s="400">
        <f t="shared" si="2"/>
        <v>614181402</v>
      </c>
      <c r="C27" s="560">
        <v>3264545</v>
      </c>
      <c r="D27" s="401">
        <v>0</v>
      </c>
      <c r="E27" s="400">
        <v>0</v>
      </c>
      <c r="F27" s="372">
        <f t="shared" si="3"/>
        <v>617445947</v>
      </c>
      <c r="G27" s="372">
        <v>1196777052</v>
      </c>
      <c r="H27" s="559">
        <f>(87771681/12)*3</f>
        <v>21942920.25</v>
      </c>
      <c r="I27" s="372">
        <v>0</v>
      </c>
      <c r="J27" s="400">
        <v>0</v>
      </c>
      <c r="K27" s="400">
        <f t="shared" si="0"/>
        <v>1218719972.25</v>
      </c>
      <c r="L27" s="372">
        <f>+F27-H27</f>
        <v>595503026.75</v>
      </c>
      <c r="M27" s="372">
        <v>614181402</v>
      </c>
      <c r="N27" s="224"/>
      <c r="O27" s="224"/>
      <c r="P27" s="224"/>
      <c r="Q27" s="224"/>
      <c r="R27" s="224"/>
      <c r="S27" s="224"/>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133"/>
      <c r="BG27" s="133"/>
      <c r="BH27" s="133"/>
      <c r="BI27" s="133"/>
      <c r="BJ27" s="133"/>
    </row>
    <row r="28" spans="1:62">
      <c r="A28" s="238" t="s">
        <v>968</v>
      </c>
      <c r="B28" s="400">
        <f t="shared" si="2"/>
        <v>0</v>
      </c>
      <c r="C28" s="562"/>
      <c r="D28" s="401">
        <v>0</v>
      </c>
      <c r="E28" s="400">
        <v>0</v>
      </c>
      <c r="F28" s="372">
        <f t="shared" si="3"/>
        <v>0</v>
      </c>
      <c r="G28" s="372">
        <v>0</v>
      </c>
      <c r="H28" s="559">
        <v>0</v>
      </c>
      <c r="I28" s="372">
        <v>0</v>
      </c>
      <c r="J28" s="400">
        <v>0</v>
      </c>
      <c r="K28" s="400">
        <f t="shared" si="0"/>
        <v>0</v>
      </c>
      <c r="L28" s="372">
        <f t="shared" si="1"/>
        <v>0</v>
      </c>
      <c r="M28" s="372">
        <v>0</v>
      </c>
      <c r="N28" s="224"/>
      <c r="O28" s="224"/>
      <c r="P28" s="224"/>
      <c r="Q28" s="224"/>
      <c r="R28" s="224"/>
      <c r="S28" s="224"/>
      <c r="AE28" s="133"/>
      <c r="AF28" s="133"/>
      <c r="AG28" s="133"/>
      <c r="AH28" s="133"/>
      <c r="AI28" s="133"/>
      <c r="AJ28" s="133"/>
      <c r="AK28" s="133"/>
      <c r="AL28" s="133"/>
      <c r="AM28" s="133"/>
      <c r="AN28" s="133"/>
      <c r="AO28" s="133"/>
      <c r="AP28" s="133"/>
      <c r="AQ28" s="133"/>
      <c r="AR28" s="133"/>
      <c r="AS28" s="133"/>
      <c r="AT28" s="133"/>
      <c r="AU28" s="133"/>
      <c r="AV28" s="133"/>
      <c r="AW28" s="133"/>
      <c r="AX28" s="133"/>
      <c r="AY28" s="133"/>
      <c r="AZ28" s="133"/>
      <c r="BA28" s="133"/>
      <c r="BB28" s="133"/>
      <c r="BC28" s="133"/>
      <c r="BD28" s="133"/>
      <c r="BE28" s="133"/>
      <c r="BF28" s="133"/>
      <c r="BG28" s="133"/>
      <c r="BH28" s="133"/>
      <c r="BI28" s="133"/>
      <c r="BJ28" s="133"/>
    </row>
    <row r="29" spans="1:62">
      <c r="A29" s="238" t="s">
        <v>970</v>
      </c>
      <c r="B29" s="400">
        <f t="shared" si="2"/>
        <v>9830769792</v>
      </c>
      <c r="C29" s="560">
        <v>0</v>
      </c>
      <c r="D29" s="401">
        <v>0</v>
      </c>
      <c r="E29" s="400">
        <v>0</v>
      </c>
      <c r="F29" s="372">
        <f>+B29+C29-D29+E29</f>
        <v>9830769792</v>
      </c>
      <c r="G29" s="372">
        <v>915338370</v>
      </c>
      <c r="H29" s="559">
        <f>(45206961/12)*3</f>
        <v>11301740.25</v>
      </c>
      <c r="I29" s="372">
        <v>0</v>
      </c>
      <c r="J29" s="400">
        <v>0</v>
      </c>
      <c r="K29" s="400">
        <f t="shared" si="0"/>
        <v>926640110.25</v>
      </c>
      <c r="L29" s="372">
        <f>+F29-H29</f>
        <v>9819468051.75</v>
      </c>
      <c r="M29" s="372">
        <v>9830769792</v>
      </c>
      <c r="N29" s="224"/>
      <c r="O29" s="224"/>
      <c r="P29" s="224"/>
      <c r="Q29" s="224"/>
      <c r="R29" s="224"/>
      <c r="S29" s="224"/>
      <c r="AE29" s="133"/>
      <c r="AF29" s="133"/>
      <c r="AG29" s="133"/>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row>
    <row r="30" spans="1:62">
      <c r="A30" s="238" t="s">
        <v>1294</v>
      </c>
      <c r="B30" s="400">
        <f t="shared" si="2"/>
        <v>2113758527</v>
      </c>
      <c r="C30" s="562"/>
      <c r="D30" s="401">
        <v>0</v>
      </c>
      <c r="E30" s="400">
        <v>0</v>
      </c>
      <c r="F30" s="372">
        <f t="shared" si="3"/>
        <v>2113758527</v>
      </c>
      <c r="G30" s="372">
        <v>0</v>
      </c>
      <c r="H30" s="559">
        <v>0</v>
      </c>
      <c r="I30" s="372">
        <v>0</v>
      </c>
      <c r="J30" s="400">
        <v>0</v>
      </c>
      <c r="K30" s="400">
        <f t="shared" si="0"/>
        <v>0</v>
      </c>
      <c r="L30" s="372">
        <f t="shared" ref="L30:L39" si="4">+F30-H30</f>
        <v>2113758527</v>
      </c>
      <c r="M30" s="372">
        <v>2113758527</v>
      </c>
      <c r="N30" s="224"/>
      <c r="O30" s="224"/>
      <c r="P30" s="224"/>
      <c r="Q30" s="224"/>
      <c r="R30" s="224"/>
      <c r="S30" s="224"/>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row>
    <row r="31" spans="1:62">
      <c r="A31" s="238" t="s">
        <v>967</v>
      </c>
      <c r="B31" s="400">
        <f t="shared" si="2"/>
        <v>0</v>
      </c>
      <c r="C31" s="562"/>
      <c r="D31" s="401">
        <v>0</v>
      </c>
      <c r="E31" s="400">
        <v>0</v>
      </c>
      <c r="F31" s="372">
        <f t="shared" si="3"/>
        <v>0</v>
      </c>
      <c r="G31" s="372">
        <v>0</v>
      </c>
      <c r="H31" s="559">
        <v>0</v>
      </c>
      <c r="I31" s="372">
        <v>0</v>
      </c>
      <c r="J31" s="400">
        <v>0</v>
      </c>
      <c r="K31" s="400">
        <f t="shared" si="0"/>
        <v>0</v>
      </c>
      <c r="L31" s="372">
        <f t="shared" si="4"/>
        <v>0</v>
      </c>
      <c r="M31" s="372">
        <v>0</v>
      </c>
      <c r="N31" s="224"/>
      <c r="O31" s="224"/>
      <c r="P31" s="224"/>
      <c r="Q31" s="224"/>
      <c r="R31" s="224"/>
      <c r="S31" s="224"/>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3"/>
      <c r="BJ31" s="133"/>
    </row>
    <row r="32" spans="1:62">
      <c r="A32" s="238" t="s">
        <v>1919</v>
      </c>
      <c r="B32" s="400">
        <f t="shared" si="2"/>
        <v>15252402</v>
      </c>
      <c r="C32" s="562"/>
      <c r="D32" s="401">
        <v>0</v>
      </c>
      <c r="E32" s="400">
        <v>0</v>
      </c>
      <c r="F32" s="372">
        <f t="shared" si="3"/>
        <v>15252402</v>
      </c>
      <c r="G32" s="372">
        <v>15252380</v>
      </c>
      <c r="H32" s="559">
        <f>(15252380/12)*3</f>
        <v>3813095</v>
      </c>
      <c r="I32" s="372">
        <v>0</v>
      </c>
      <c r="J32" s="400">
        <v>0</v>
      </c>
      <c r="K32" s="400">
        <f t="shared" si="0"/>
        <v>19065475</v>
      </c>
      <c r="L32" s="372">
        <f t="shared" si="4"/>
        <v>11439307</v>
      </c>
      <c r="M32" s="372">
        <v>15252402</v>
      </c>
      <c r="N32" s="224"/>
      <c r="O32" s="224"/>
      <c r="P32" s="224"/>
      <c r="Q32" s="224"/>
      <c r="R32" s="224"/>
      <c r="S32" s="224"/>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row>
    <row r="33" spans="1:62">
      <c r="A33" s="373" t="s">
        <v>888</v>
      </c>
      <c r="B33" s="400">
        <f t="shared" si="2"/>
        <v>0</v>
      </c>
      <c r="C33" s="562"/>
      <c r="D33" s="401"/>
      <c r="E33" s="400"/>
      <c r="F33" s="372">
        <f t="shared" si="3"/>
        <v>0</v>
      </c>
      <c r="G33" s="372">
        <v>0</v>
      </c>
      <c r="H33" s="559">
        <v>0</v>
      </c>
      <c r="I33" s="372"/>
      <c r="J33" s="400"/>
      <c r="K33" s="400">
        <f t="shared" si="0"/>
        <v>0</v>
      </c>
      <c r="L33" s="372">
        <f t="shared" si="4"/>
        <v>0</v>
      </c>
      <c r="M33" s="372">
        <v>0</v>
      </c>
      <c r="N33" s="224"/>
      <c r="O33" s="224"/>
      <c r="P33" s="224"/>
      <c r="Q33" s="224"/>
      <c r="R33" s="224"/>
      <c r="S33" s="224"/>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3"/>
      <c r="BJ33" s="133"/>
    </row>
    <row r="34" spans="1:62" hidden="1">
      <c r="A34" s="238" t="s">
        <v>889</v>
      </c>
      <c r="B34" s="400">
        <f t="shared" si="2"/>
        <v>0</v>
      </c>
      <c r="C34" s="562"/>
      <c r="D34" s="401">
        <v>0</v>
      </c>
      <c r="E34" s="400">
        <v>0</v>
      </c>
      <c r="F34" s="372">
        <f t="shared" si="3"/>
        <v>0</v>
      </c>
      <c r="G34" s="372">
        <v>0</v>
      </c>
      <c r="H34" s="559">
        <v>0</v>
      </c>
      <c r="I34" s="372">
        <v>0</v>
      </c>
      <c r="J34" s="400">
        <v>0</v>
      </c>
      <c r="K34" s="400">
        <f t="shared" si="0"/>
        <v>0</v>
      </c>
      <c r="L34" s="372">
        <f t="shared" si="4"/>
        <v>0</v>
      </c>
      <c r="M34" s="372">
        <v>0</v>
      </c>
      <c r="N34" s="224"/>
      <c r="O34" s="224"/>
      <c r="P34" s="224"/>
      <c r="Q34" s="224"/>
      <c r="R34" s="224"/>
      <c r="S34" s="224"/>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row>
    <row r="35" spans="1:62" hidden="1">
      <c r="A35" s="238" t="s">
        <v>890</v>
      </c>
      <c r="B35" s="400">
        <f t="shared" si="2"/>
        <v>0</v>
      </c>
      <c r="C35" s="562"/>
      <c r="D35" s="401">
        <v>0</v>
      </c>
      <c r="E35" s="400">
        <v>0</v>
      </c>
      <c r="F35" s="372">
        <f t="shared" si="3"/>
        <v>0</v>
      </c>
      <c r="G35" s="372">
        <v>0</v>
      </c>
      <c r="H35" s="559">
        <v>0</v>
      </c>
      <c r="I35" s="372">
        <v>0</v>
      </c>
      <c r="J35" s="400">
        <v>0</v>
      </c>
      <c r="K35" s="400">
        <f t="shared" si="0"/>
        <v>0</v>
      </c>
      <c r="L35" s="372">
        <f t="shared" si="4"/>
        <v>0</v>
      </c>
      <c r="M35" s="372">
        <v>0</v>
      </c>
      <c r="N35" s="224"/>
      <c r="O35" s="224"/>
      <c r="P35" s="224"/>
      <c r="Q35" s="224"/>
      <c r="R35" s="224"/>
      <c r="S35" s="224"/>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row>
    <row r="36" spans="1:62" hidden="1">
      <c r="A36" s="238" t="s">
        <v>891</v>
      </c>
      <c r="B36" s="400">
        <f t="shared" si="2"/>
        <v>0</v>
      </c>
      <c r="C36" s="562"/>
      <c r="D36" s="401">
        <v>0</v>
      </c>
      <c r="E36" s="400">
        <v>0</v>
      </c>
      <c r="F36" s="372">
        <f t="shared" si="3"/>
        <v>0</v>
      </c>
      <c r="G36" s="372">
        <v>0</v>
      </c>
      <c r="H36" s="559">
        <v>0</v>
      </c>
      <c r="I36" s="372">
        <v>0</v>
      </c>
      <c r="J36" s="400">
        <v>0</v>
      </c>
      <c r="K36" s="400">
        <f t="shared" si="0"/>
        <v>0</v>
      </c>
      <c r="L36" s="372">
        <f t="shared" si="4"/>
        <v>0</v>
      </c>
      <c r="M36" s="372">
        <v>0</v>
      </c>
      <c r="N36" s="224"/>
      <c r="O36" s="224"/>
      <c r="P36" s="224"/>
      <c r="Q36" s="224"/>
      <c r="R36" s="224"/>
      <c r="S36" s="224"/>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row>
    <row r="37" spans="1:62" hidden="1">
      <c r="A37" s="238" t="s">
        <v>892</v>
      </c>
      <c r="B37" s="400">
        <f t="shared" si="2"/>
        <v>0</v>
      </c>
      <c r="C37" s="562"/>
      <c r="D37" s="401">
        <v>0</v>
      </c>
      <c r="E37" s="400">
        <v>0</v>
      </c>
      <c r="F37" s="372">
        <f t="shared" si="3"/>
        <v>0</v>
      </c>
      <c r="G37" s="372">
        <v>0</v>
      </c>
      <c r="H37" s="559">
        <v>0</v>
      </c>
      <c r="I37" s="372">
        <v>0</v>
      </c>
      <c r="J37" s="400">
        <v>0</v>
      </c>
      <c r="K37" s="400">
        <f t="shared" si="0"/>
        <v>0</v>
      </c>
      <c r="L37" s="372">
        <f t="shared" si="4"/>
        <v>0</v>
      </c>
      <c r="M37" s="372">
        <v>0</v>
      </c>
      <c r="N37" s="224"/>
      <c r="O37" s="224"/>
      <c r="P37" s="224"/>
      <c r="Q37" s="224"/>
      <c r="R37" s="224"/>
      <c r="S37" s="224"/>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row>
    <row r="38" spans="1:62" hidden="1">
      <c r="A38" s="238" t="s">
        <v>893</v>
      </c>
      <c r="B38" s="400">
        <f t="shared" si="2"/>
        <v>0</v>
      </c>
      <c r="C38" s="562"/>
      <c r="D38" s="401">
        <v>0</v>
      </c>
      <c r="E38" s="400">
        <v>0</v>
      </c>
      <c r="F38" s="372">
        <f t="shared" si="3"/>
        <v>0</v>
      </c>
      <c r="G38" s="372">
        <v>0</v>
      </c>
      <c r="H38" s="559">
        <v>0</v>
      </c>
      <c r="I38" s="372">
        <v>0</v>
      </c>
      <c r="J38" s="400">
        <v>0</v>
      </c>
      <c r="K38" s="400">
        <f t="shared" si="0"/>
        <v>0</v>
      </c>
      <c r="L38" s="372">
        <f t="shared" si="4"/>
        <v>0</v>
      </c>
      <c r="M38" s="372">
        <v>0</v>
      </c>
      <c r="N38" s="224"/>
      <c r="O38" s="224"/>
      <c r="P38" s="224"/>
      <c r="Q38" s="224"/>
      <c r="R38" s="224"/>
      <c r="S38" s="224"/>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row>
    <row r="39" spans="1:62" hidden="1">
      <c r="A39" s="238" t="s">
        <v>894</v>
      </c>
      <c r="B39" s="400">
        <f t="shared" si="2"/>
        <v>0</v>
      </c>
      <c r="C39" s="562"/>
      <c r="D39" s="401">
        <v>0</v>
      </c>
      <c r="E39" s="400">
        <v>0</v>
      </c>
      <c r="F39" s="372">
        <f t="shared" si="3"/>
        <v>0</v>
      </c>
      <c r="G39" s="372">
        <v>0</v>
      </c>
      <c r="H39" s="559">
        <v>0</v>
      </c>
      <c r="I39" s="372">
        <v>0</v>
      </c>
      <c r="J39" s="400">
        <v>0</v>
      </c>
      <c r="K39" s="400">
        <f t="shared" si="0"/>
        <v>0</v>
      </c>
      <c r="L39" s="372">
        <f t="shared" si="4"/>
        <v>0</v>
      </c>
      <c r="M39" s="372">
        <v>0</v>
      </c>
      <c r="N39" s="224"/>
      <c r="O39" s="224"/>
      <c r="P39" s="224"/>
      <c r="Q39" s="224"/>
      <c r="R39" s="224"/>
      <c r="S39" s="224"/>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row>
    <row r="40" spans="1:62">
      <c r="A40" s="238" t="s">
        <v>971</v>
      </c>
      <c r="B40" s="400">
        <f t="shared" si="2"/>
        <v>0</v>
      </c>
      <c r="C40" s="560"/>
      <c r="D40" s="419"/>
      <c r="E40" s="400"/>
      <c r="F40" s="372">
        <f t="shared" si="3"/>
        <v>0</v>
      </c>
      <c r="G40" s="372"/>
      <c r="H40" s="559"/>
      <c r="I40" s="372"/>
      <c r="J40" s="400"/>
      <c r="K40" s="400">
        <f t="shared" si="0"/>
        <v>0</v>
      </c>
      <c r="L40" s="372"/>
      <c r="M40" s="372"/>
      <c r="N40" s="224"/>
      <c r="O40" s="224"/>
      <c r="P40" s="224"/>
      <c r="Q40" s="224"/>
      <c r="R40" s="224"/>
      <c r="S40" s="224"/>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row>
    <row r="41" spans="1:62">
      <c r="A41" s="240" t="s">
        <v>324</v>
      </c>
      <c r="B41" s="241">
        <f>SUM(B17:B40)</f>
        <v>16730993992</v>
      </c>
      <c r="C41" s="241">
        <f t="shared" ref="C41:K41" si="5">SUM(C17:C40)</f>
        <v>3748422</v>
      </c>
      <c r="D41" s="241">
        <f t="shared" si="5"/>
        <v>0</v>
      </c>
      <c r="E41" s="241">
        <f t="shared" si="5"/>
        <v>0</v>
      </c>
      <c r="F41" s="241">
        <f t="shared" si="5"/>
        <v>16734742414</v>
      </c>
      <c r="G41" s="604">
        <f>SUM(G17:G40)</f>
        <v>3456553954</v>
      </c>
      <c r="H41" s="241">
        <f t="shared" si="5"/>
        <v>61657480.75</v>
      </c>
      <c r="I41" s="241">
        <f t="shared" si="5"/>
        <v>0</v>
      </c>
      <c r="J41" s="241">
        <f t="shared" si="5"/>
        <v>0</v>
      </c>
      <c r="K41" s="241">
        <f t="shared" si="5"/>
        <v>3518211434.75</v>
      </c>
      <c r="L41" s="241">
        <f>SUM($L$17:L40)</f>
        <v>16673084933.25</v>
      </c>
      <c r="M41" s="241">
        <f>SUM($M$17:M40)</f>
        <v>16730993992</v>
      </c>
      <c r="N41" s="224"/>
      <c r="O41" s="224"/>
      <c r="P41" s="224"/>
      <c r="Q41" s="224"/>
      <c r="R41" s="224"/>
      <c r="S41" s="224"/>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row>
    <row r="42" spans="1:62">
      <c r="H42" s="499"/>
      <c r="L42" s="499">
        <f>+L41-'2024'!C174</f>
        <v>0.25</v>
      </c>
      <c r="M42" s="497"/>
    </row>
    <row r="43" spans="1:62">
      <c r="B43" s="563"/>
      <c r="L43" s="499"/>
    </row>
  </sheetData>
  <mergeCells count="1">
    <mergeCell ref="A12:M12"/>
  </mergeCells>
  <hyperlinks>
    <hyperlink ref="L1" location="BG!A1" display="BG" xr:uid="{00000000-0004-0000-1200-000000000000}"/>
  </hyperlinks>
  <pageMargins left="0.25" right="0.25" top="0.75" bottom="0.75" header="0.3" footer="0.3"/>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K82"/>
  <sheetViews>
    <sheetView showGridLines="0" tabSelected="1" topLeftCell="A25" workbookViewId="0">
      <selection activeCell="I7" sqref="I7"/>
    </sheetView>
  </sheetViews>
  <sheetFormatPr baseColWidth="10" defaultColWidth="11.28515625" defaultRowHeight="11.25"/>
  <cols>
    <col min="1" max="1" width="4.7109375" style="26" customWidth="1"/>
    <col min="2" max="2" width="2" style="26" customWidth="1"/>
    <col min="3" max="3" width="2.28515625" style="26" customWidth="1"/>
    <col min="4" max="4" width="51.85546875" style="26" customWidth="1"/>
    <col min="5" max="5" width="10.28515625" style="28" customWidth="1"/>
    <col min="6" max="7" width="21.7109375" style="26" bestFit="1" customWidth="1"/>
    <col min="8" max="8" width="12.5703125" style="26" bestFit="1" customWidth="1"/>
    <col min="9" max="9" width="18.7109375" style="403" customWidth="1"/>
    <col min="10" max="11" width="11.28515625" style="403"/>
    <col min="12" max="16384" width="11.28515625" style="26"/>
  </cols>
  <sheetData>
    <row r="1" spans="1:7" ht="15">
      <c r="D1" s="355"/>
      <c r="E1" s="27" t="s">
        <v>113</v>
      </c>
    </row>
    <row r="3" spans="1:7">
      <c r="F3" s="29"/>
    </row>
    <row r="4" spans="1:7">
      <c r="D4" s="26" t="s">
        <v>931</v>
      </c>
    </row>
    <row r="6" spans="1:7">
      <c r="G6" s="30"/>
    </row>
    <row r="7" spans="1:7" ht="12.75">
      <c r="A7" s="711" t="s">
        <v>114</v>
      </c>
      <c r="B7" s="711"/>
      <c r="C7" s="711"/>
      <c r="D7" s="711"/>
      <c r="E7" s="711"/>
      <c r="F7" s="711"/>
      <c r="G7" s="711"/>
    </row>
    <row r="8" spans="1:7" ht="15" customHeight="1">
      <c r="A8" s="711" t="s">
        <v>2090</v>
      </c>
      <c r="B8" s="711"/>
      <c r="C8" s="711"/>
      <c r="D8" s="711"/>
      <c r="E8" s="711"/>
      <c r="F8" s="711"/>
      <c r="G8" s="711"/>
    </row>
    <row r="9" spans="1:7" ht="12.75">
      <c r="A9" s="712" t="s">
        <v>2081</v>
      </c>
      <c r="B9" s="712"/>
      <c r="C9" s="712"/>
      <c r="D9" s="712"/>
      <c r="E9" s="712"/>
      <c r="F9" s="712"/>
      <c r="G9" s="712"/>
    </row>
    <row r="10" spans="1:7" ht="12">
      <c r="A10" s="31"/>
      <c r="B10" s="31"/>
      <c r="C10" s="31"/>
      <c r="D10" s="31"/>
      <c r="E10" s="32"/>
      <c r="F10" s="31"/>
      <c r="G10" s="31"/>
    </row>
    <row r="11" spans="1:7" ht="15">
      <c r="A11" s="31"/>
      <c r="B11" s="33"/>
      <c r="C11" s="33"/>
      <c r="D11" s="33"/>
      <c r="E11" s="34" t="s">
        <v>116</v>
      </c>
      <c r="F11" s="34">
        <v>2024</v>
      </c>
      <c r="G11" s="34">
        <v>2023</v>
      </c>
    </row>
    <row r="12" spans="1:7" ht="15">
      <c r="B12" s="713" t="s">
        <v>117</v>
      </c>
      <c r="C12" s="713"/>
      <c r="D12" s="713"/>
      <c r="E12" s="35"/>
    </row>
    <row r="13" spans="1:7" ht="12.75">
      <c r="A13" s="31"/>
      <c r="B13" s="36" t="s">
        <v>118</v>
      </c>
      <c r="C13" s="1"/>
      <c r="D13" s="1"/>
      <c r="E13" s="37"/>
      <c r="F13" s="1"/>
      <c r="G13" s="38"/>
    </row>
    <row r="14" spans="1:7" ht="15">
      <c r="A14" s="31"/>
      <c r="B14" s="1"/>
      <c r="C14" s="707" t="s">
        <v>20</v>
      </c>
      <c r="D14" s="707"/>
      <c r="E14" s="39">
        <v>3</v>
      </c>
      <c r="F14" s="40">
        <f>'Nota 3'!C54</f>
        <v>2458378025</v>
      </c>
      <c r="G14" s="40">
        <f>'Nota 3'!D54</f>
        <v>752244952</v>
      </c>
    </row>
    <row r="15" spans="1:7" ht="15">
      <c r="A15" s="31"/>
      <c r="B15" s="1"/>
      <c r="C15" s="707" t="s">
        <v>22</v>
      </c>
      <c r="D15" s="707"/>
      <c r="E15" s="39">
        <v>4</v>
      </c>
      <c r="F15" s="40">
        <f>'Nota 4'!B19</f>
        <v>0</v>
      </c>
      <c r="G15" s="40">
        <f>'Nota 4'!C19</f>
        <v>0</v>
      </c>
    </row>
    <row r="16" spans="1:7" ht="15">
      <c r="A16" s="31"/>
      <c r="B16" s="1"/>
      <c r="C16" s="707" t="s">
        <v>24</v>
      </c>
      <c r="D16" s="707"/>
      <c r="E16" s="39">
        <v>5</v>
      </c>
      <c r="F16" s="40">
        <f>'Nota 5'!D27</f>
        <v>946967375</v>
      </c>
      <c r="G16" s="40">
        <f>'Nota 5'!E27</f>
        <v>1746027792</v>
      </c>
    </row>
    <row r="17" spans="1:8" ht="15">
      <c r="A17" s="41"/>
      <c r="B17" s="1"/>
      <c r="C17" s="707" t="s">
        <v>26</v>
      </c>
      <c r="D17" s="707"/>
      <c r="E17" s="39">
        <v>6</v>
      </c>
      <c r="F17" s="40">
        <f>'Nota 6'!B25</f>
        <v>5189967882</v>
      </c>
      <c r="G17" s="40">
        <f>'Nota 6'!C25</f>
        <v>4236852891</v>
      </c>
    </row>
    <row r="18" spans="1:8" ht="15">
      <c r="A18" s="31"/>
      <c r="B18" s="1"/>
      <c r="C18" s="707" t="s">
        <v>28</v>
      </c>
      <c r="D18" s="707"/>
      <c r="E18" s="39">
        <v>7</v>
      </c>
      <c r="F18" s="40">
        <f>'Nota 7'!B15</f>
        <v>17387498725</v>
      </c>
      <c r="G18" s="40">
        <f>'Nota 7'!C15</f>
        <v>15532153633</v>
      </c>
    </row>
    <row r="19" spans="1:8" ht="12.75">
      <c r="A19" s="31"/>
      <c r="B19" s="1"/>
      <c r="C19" s="36" t="s">
        <v>119</v>
      </c>
      <c r="D19" s="1"/>
      <c r="E19" s="37"/>
      <c r="F19" s="42">
        <f>SUM(F14:F18)</f>
        <v>25982812007</v>
      </c>
      <c r="G19" s="42">
        <f>SUM(G14:G18)</f>
        <v>22267279268</v>
      </c>
    </row>
    <row r="20" spans="1:8" ht="12.75">
      <c r="A20" s="31"/>
      <c r="B20" s="36" t="s">
        <v>120</v>
      </c>
      <c r="C20" s="1"/>
      <c r="D20" s="1"/>
      <c r="E20" s="37"/>
      <c r="F20" s="1"/>
      <c r="G20" s="38"/>
    </row>
    <row r="21" spans="1:8" ht="15">
      <c r="A21" s="31"/>
      <c r="B21" s="1"/>
      <c r="C21" s="707" t="s">
        <v>121</v>
      </c>
      <c r="D21" s="707"/>
      <c r="E21" s="39">
        <v>6</v>
      </c>
      <c r="F21" s="40">
        <f>'Nota 6'!F15</f>
        <v>24000000</v>
      </c>
      <c r="G21" s="43">
        <f>+'Nota 6'!G15</f>
        <v>246204801</v>
      </c>
    </row>
    <row r="22" spans="1:8" ht="15">
      <c r="A22" s="31"/>
      <c r="B22" s="1"/>
      <c r="C22" t="s">
        <v>24</v>
      </c>
      <c r="D22"/>
      <c r="E22" s="39">
        <v>5</v>
      </c>
      <c r="F22" s="40">
        <f>'Nota 5'!D54</f>
        <v>0</v>
      </c>
      <c r="G22" s="43">
        <f>'Nota 5'!E54</f>
        <v>0</v>
      </c>
    </row>
    <row r="23" spans="1:8" ht="15">
      <c r="A23" s="31"/>
      <c r="B23" s="1"/>
      <c r="C23" s="707" t="s">
        <v>30</v>
      </c>
      <c r="D23" s="707"/>
      <c r="E23" s="39">
        <v>8</v>
      </c>
      <c r="F23" s="40">
        <f>'Nota 8'!B8</f>
        <v>0</v>
      </c>
      <c r="G23" s="38">
        <f>+'Nota 8'!C8</f>
        <v>0</v>
      </c>
    </row>
    <row r="24" spans="1:8" ht="15">
      <c r="A24" s="31"/>
      <c r="B24" s="1"/>
      <c r="C24" s="707" t="s">
        <v>122</v>
      </c>
      <c r="D24" s="707"/>
      <c r="E24" s="39">
        <v>9</v>
      </c>
      <c r="F24" s="40">
        <f>'Nota 9'!L41</f>
        <v>16673084933.25</v>
      </c>
      <c r="G24" s="38">
        <f>'Nota 9'!M41</f>
        <v>16730993992</v>
      </c>
    </row>
    <row r="25" spans="1:8" ht="15">
      <c r="A25" s="31"/>
      <c r="B25" s="1"/>
      <c r="C25" s="707" t="s">
        <v>34</v>
      </c>
      <c r="D25" s="707"/>
      <c r="E25" s="39">
        <v>10</v>
      </c>
      <c r="F25" s="40">
        <f>'Nota 10'!$B$19</f>
        <v>0</v>
      </c>
      <c r="G25" s="38">
        <f>+'Nota 10'!C19</f>
        <v>0</v>
      </c>
    </row>
    <row r="26" spans="1:8" ht="15">
      <c r="A26" s="31"/>
      <c r="B26" s="1"/>
      <c r="C26" s="707" t="s">
        <v>36</v>
      </c>
      <c r="D26" s="707"/>
      <c r="E26" s="39">
        <v>11</v>
      </c>
      <c r="F26" s="40">
        <f>'Nota 11'!B16</f>
        <v>57018386</v>
      </c>
      <c r="G26" s="38">
        <f>+'Nota 11'!C16</f>
        <v>64315664</v>
      </c>
    </row>
    <row r="27" spans="1:8" ht="15">
      <c r="A27" s="31"/>
      <c r="B27" s="1"/>
      <c r="C27" s="707" t="s">
        <v>38</v>
      </c>
      <c r="D27" s="707"/>
      <c r="E27" s="39">
        <v>12</v>
      </c>
      <c r="F27" s="40">
        <f>+'Nota 12'!B11</f>
        <v>0</v>
      </c>
      <c r="G27" s="38">
        <f>+'Nota 12'!C11</f>
        <v>0</v>
      </c>
    </row>
    <row r="28" spans="1:8" ht="12.75">
      <c r="A28" s="31"/>
      <c r="B28" s="1"/>
      <c r="C28" s="709" t="s">
        <v>123</v>
      </c>
      <c r="D28" s="709"/>
      <c r="E28" s="37"/>
      <c r="F28" s="42">
        <f>SUM(F21:F27)</f>
        <v>16754103319.25</v>
      </c>
      <c r="G28" s="42">
        <f>SUM(G21:G27)</f>
        <v>17041514457</v>
      </c>
    </row>
    <row r="29" spans="1:8" ht="15">
      <c r="A29" s="31"/>
      <c r="B29" s="710" t="s">
        <v>124</v>
      </c>
      <c r="C29" s="710"/>
      <c r="D29" s="710"/>
      <c r="E29" s="44"/>
      <c r="F29" s="45">
        <f>+F19+F28</f>
        <v>42736915326.25</v>
      </c>
      <c r="G29" s="46">
        <f>+G19+G28</f>
        <v>39308793725</v>
      </c>
      <c r="H29" s="588"/>
    </row>
    <row r="30" spans="1:8" ht="17.25">
      <c r="B30" s="708" t="s">
        <v>125</v>
      </c>
      <c r="C30" s="708"/>
      <c r="D30" s="708"/>
      <c r="E30" s="35"/>
      <c r="F30" s="47"/>
      <c r="G30" s="48"/>
      <c r="H30" s="420"/>
    </row>
    <row r="31" spans="1:8" ht="12.75">
      <c r="A31" s="31"/>
      <c r="B31" s="36" t="s">
        <v>126</v>
      </c>
      <c r="C31" s="1"/>
      <c r="D31" s="1"/>
      <c r="E31" s="37"/>
      <c r="F31" s="49">
        <v>-1</v>
      </c>
      <c r="G31" s="38"/>
    </row>
    <row r="32" spans="1:8" ht="15">
      <c r="A32" s="31"/>
      <c r="B32" s="1"/>
      <c r="C32" s="707" t="s">
        <v>40</v>
      </c>
      <c r="D32" s="707"/>
      <c r="E32" s="39">
        <v>13</v>
      </c>
      <c r="F32" s="40">
        <f>'Nota 13'!D15</f>
        <v>2644381490</v>
      </c>
      <c r="G32" s="38">
        <f>'Nota 13'!E15</f>
        <v>2670104896</v>
      </c>
      <c r="H32" s="420"/>
    </row>
    <row r="33" spans="1:8" ht="15">
      <c r="A33" s="31"/>
      <c r="B33" s="1"/>
      <c r="C33" s="714" t="s">
        <v>127</v>
      </c>
      <c r="D33" s="714"/>
      <c r="E33" s="39">
        <v>14</v>
      </c>
      <c r="F33" s="40">
        <f>'Nota 14'!$E$41</f>
        <v>10771180393</v>
      </c>
      <c r="G33" s="38">
        <f>'Nota 14'!K41</f>
        <v>9270794393</v>
      </c>
    </row>
    <row r="34" spans="1:8" ht="15">
      <c r="A34" s="31"/>
      <c r="B34" s="1"/>
      <c r="C34" s="707" t="s">
        <v>44</v>
      </c>
      <c r="D34" s="707"/>
      <c r="E34" s="39">
        <v>15</v>
      </c>
      <c r="F34" s="40">
        <f>'Nota 15'!B15</f>
        <v>0</v>
      </c>
      <c r="G34" s="38">
        <f>'Nota 15'!C15</f>
        <v>0</v>
      </c>
    </row>
    <row r="35" spans="1:8" ht="15">
      <c r="A35" s="31"/>
      <c r="B35" s="1"/>
      <c r="C35" s="707" t="s">
        <v>46</v>
      </c>
      <c r="D35" s="707"/>
      <c r="E35" s="39">
        <v>16</v>
      </c>
      <c r="F35" s="40">
        <f>'Nota 16'!B12</f>
        <v>59202877</v>
      </c>
      <c r="G35" s="38">
        <f>'Nota 16'!C12</f>
        <v>93254199</v>
      </c>
    </row>
    <row r="36" spans="1:8" ht="15">
      <c r="A36" s="31"/>
      <c r="B36" s="1"/>
      <c r="C36" s="707" t="s">
        <v>48</v>
      </c>
      <c r="D36" s="707"/>
      <c r="E36" s="39">
        <v>17</v>
      </c>
      <c r="F36" s="40">
        <f>'Nota 17'!B14</f>
        <v>6988762</v>
      </c>
      <c r="G36" s="38">
        <f>'Nota 17'!C14</f>
        <v>85234849</v>
      </c>
      <c r="H36" s="420"/>
    </row>
    <row r="37" spans="1:8" ht="15">
      <c r="A37" s="31"/>
      <c r="B37" s="1"/>
      <c r="C37" s="707" t="s">
        <v>50</v>
      </c>
      <c r="D37" s="707"/>
      <c r="E37" s="39">
        <v>18</v>
      </c>
      <c r="F37" s="40">
        <f>'Nota 18'!B17</f>
        <v>3359122937</v>
      </c>
      <c r="G37" s="38">
        <f>'Nota 18'!C17</f>
        <v>3670469706</v>
      </c>
      <c r="H37" s="420"/>
    </row>
    <row r="38" spans="1:8" ht="15">
      <c r="A38" s="31"/>
      <c r="B38" s="1"/>
      <c r="C38" s="707" t="s">
        <v>52</v>
      </c>
      <c r="D38" s="707"/>
      <c r="E38" s="39">
        <v>19</v>
      </c>
      <c r="F38" s="40">
        <f>'Nota 19'!B11</f>
        <v>1588588983</v>
      </c>
      <c r="G38" s="38">
        <f>'Nota 19'!C11</f>
        <v>519552905</v>
      </c>
      <c r="H38" s="420"/>
    </row>
    <row r="39" spans="1:8" ht="13.7" customHeight="1">
      <c r="A39" s="31"/>
      <c r="B39" s="1"/>
      <c r="C39" s="36" t="s">
        <v>128</v>
      </c>
      <c r="D39" s="1"/>
      <c r="E39" s="37"/>
      <c r="F39" s="42">
        <f>+F32+F33+F34+F35+F36+F37+F38</f>
        <v>18429465442</v>
      </c>
      <c r="G39" s="42">
        <f>SUM(G32:G38)</f>
        <v>16309410948</v>
      </c>
    </row>
    <row r="40" spans="1:8" ht="12.75">
      <c r="A40" s="31"/>
      <c r="B40" s="36" t="s">
        <v>129</v>
      </c>
      <c r="C40" s="1"/>
      <c r="D40" s="1"/>
      <c r="E40" s="37"/>
      <c r="F40" s="1"/>
      <c r="G40" s="1"/>
    </row>
    <row r="41" spans="1:8" ht="15">
      <c r="A41" s="31"/>
      <c r="B41" s="1"/>
      <c r="C41" s="707" t="s">
        <v>130</v>
      </c>
      <c r="D41" s="707"/>
      <c r="E41" s="39">
        <v>14</v>
      </c>
      <c r="F41" s="40">
        <f>'Nota 14'!$E$69</f>
        <v>3358538065</v>
      </c>
      <c r="G41" s="38">
        <f>+'Nota 14'!K69</f>
        <v>1983265732</v>
      </c>
    </row>
    <row r="42" spans="1:8" ht="15">
      <c r="A42" s="31"/>
      <c r="B42" s="1"/>
      <c r="C42" s="707" t="s">
        <v>131</v>
      </c>
      <c r="D42" s="707"/>
      <c r="E42" s="39">
        <v>19</v>
      </c>
      <c r="F42" s="40">
        <f>'Nota 19'!F15</f>
        <v>0</v>
      </c>
      <c r="G42" s="38">
        <f>'Nota 19'!G15</f>
        <v>352618317</v>
      </c>
    </row>
    <row r="43" spans="1:8" ht="12.75">
      <c r="A43" s="31"/>
      <c r="B43" s="1"/>
      <c r="C43" s="36" t="s">
        <v>132</v>
      </c>
      <c r="D43" s="1"/>
      <c r="E43" s="37"/>
      <c r="F43" s="42">
        <f>SUM(F41:F42)</f>
        <v>3358538065</v>
      </c>
      <c r="G43" s="42">
        <f>SUM(G41:G42)</f>
        <v>2335884049</v>
      </c>
    </row>
    <row r="44" spans="1:8" ht="6" customHeight="1">
      <c r="A44" s="31"/>
      <c r="B44" s="1"/>
      <c r="C44" s="1"/>
      <c r="D44" s="50"/>
      <c r="E44" s="51"/>
      <c r="F44" s="50"/>
      <c r="G44" s="38"/>
    </row>
    <row r="45" spans="1:8" ht="15">
      <c r="A45" s="31"/>
      <c r="B45" s="708" t="s">
        <v>133</v>
      </c>
      <c r="C45" s="708"/>
      <c r="D45" s="708"/>
      <c r="E45" s="52"/>
      <c r="F45" s="45">
        <f>+F39+F43</f>
        <v>21788003507</v>
      </c>
      <c r="G45" s="45">
        <f>+G39+G43</f>
        <v>18645294997</v>
      </c>
      <c r="H45" s="420"/>
    </row>
    <row r="46" spans="1:8" ht="15">
      <c r="B46" s="708" t="s">
        <v>134</v>
      </c>
      <c r="C46" s="708"/>
      <c r="D46" s="708"/>
      <c r="E46" s="35"/>
      <c r="F46"/>
      <c r="G46"/>
    </row>
    <row r="47" spans="1:8" ht="15">
      <c r="A47" s="31"/>
      <c r="B47" s="1"/>
      <c r="C47" s="707" t="s">
        <v>56</v>
      </c>
      <c r="D47" s="707"/>
      <c r="E47" s="39">
        <v>20</v>
      </c>
      <c r="F47" s="40">
        <f>'Nota 20'!B11</f>
        <v>15000000000</v>
      </c>
      <c r="G47" s="40">
        <f>'Nota 20'!C11</f>
        <v>15000000000</v>
      </c>
    </row>
    <row r="48" spans="1:8" ht="15">
      <c r="A48" s="31"/>
      <c r="B48" s="1"/>
      <c r="C48" s="707" t="s">
        <v>58</v>
      </c>
      <c r="D48" s="707"/>
      <c r="E48" s="27">
        <v>21</v>
      </c>
      <c r="F48" s="40">
        <f>' Nota 21'!B8</f>
        <v>1815870408</v>
      </c>
      <c r="G48" s="40">
        <f>' Nota 21'!C8</f>
        <v>1815870408</v>
      </c>
    </row>
    <row r="49" spans="1:11" ht="15">
      <c r="A49" s="41"/>
      <c r="B49" s="1"/>
      <c r="C49" s="707" t="s">
        <v>60</v>
      </c>
      <c r="D49" s="707"/>
      <c r="E49" s="27">
        <v>21</v>
      </c>
      <c r="F49" s="40">
        <f>' Nota 21'!B13</f>
        <v>1291637728</v>
      </c>
      <c r="G49" s="40">
        <f>' Nota 21'!C13</f>
        <v>1291637728</v>
      </c>
    </row>
    <row r="50" spans="1:11" ht="15">
      <c r="A50" s="31"/>
      <c r="B50" s="1"/>
      <c r="C50" s="707" t="s">
        <v>998</v>
      </c>
      <c r="D50" s="707"/>
      <c r="E50" s="27">
        <v>21</v>
      </c>
      <c r="F50" s="40">
        <f>+' Nota 21'!B19</f>
        <v>1252221963</v>
      </c>
      <c r="G50" s="40">
        <f>+' Nota 21'!C19</f>
        <v>1252221963</v>
      </c>
    </row>
    <row r="51" spans="1:11" ht="15">
      <c r="A51" s="31"/>
      <c r="B51" s="1"/>
      <c r="C51" s="707" t="s">
        <v>999</v>
      </c>
      <c r="D51" s="707"/>
      <c r="E51" s="27">
        <v>21</v>
      </c>
      <c r="F51" s="40">
        <f>+' Nota 21'!B20</f>
        <v>0</v>
      </c>
      <c r="G51" s="40">
        <f>+' Nota 21'!C20</f>
        <v>0</v>
      </c>
    </row>
    <row r="52" spans="1:11" ht="15">
      <c r="A52" s="31"/>
      <c r="B52" s="1"/>
      <c r="C52" s="707" t="s">
        <v>63</v>
      </c>
      <c r="D52" s="707"/>
      <c r="E52" s="39">
        <v>22</v>
      </c>
      <c r="F52" s="40">
        <f>+'Nota 22'!B8</f>
        <v>0</v>
      </c>
      <c r="G52" s="40">
        <f>'Nota 22'!C8</f>
        <v>0</v>
      </c>
    </row>
    <row r="53" spans="1:11" ht="15">
      <c r="A53" s="31"/>
      <c r="B53" s="1"/>
      <c r="C53" s="707" t="s">
        <v>65</v>
      </c>
      <c r="D53" s="707"/>
      <c r="E53" s="39">
        <v>23</v>
      </c>
      <c r="F53" s="40">
        <f>'Nota 23'!B11</f>
        <v>1589181720</v>
      </c>
      <c r="G53" s="40">
        <f>'Nota 23'!C11</f>
        <v>1303768629</v>
      </c>
    </row>
    <row r="54" spans="1:11" ht="12.75">
      <c r="A54" s="31"/>
      <c r="B54" s="1"/>
      <c r="C54" s="706" t="s">
        <v>135</v>
      </c>
      <c r="D54" s="706"/>
      <c r="E54" s="37"/>
      <c r="F54" s="40">
        <f>SUM(F47:F53)</f>
        <v>20948911819</v>
      </c>
      <c r="G54" s="40">
        <f>SUM(G47:G53)</f>
        <v>20663498728</v>
      </c>
    </row>
    <row r="55" spans="1:11" ht="15">
      <c r="A55" s="31"/>
      <c r="B55" s="1"/>
      <c r="C55" s="707" t="s">
        <v>67</v>
      </c>
      <c r="D55" s="707"/>
      <c r="E55" s="39">
        <v>24</v>
      </c>
      <c r="F55" s="40">
        <f>+'Nota 22'!B8</f>
        <v>0</v>
      </c>
      <c r="G55" s="40">
        <f>+'Nota 22'!C8</f>
        <v>0</v>
      </c>
    </row>
    <row r="56" spans="1:11" ht="15">
      <c r="A56" s="31"/>
      <c r="B56" s="708" t="s">
        <v>136</v>
      </c>
      <c r="C56" s="708"/>
      <c r="D56" s="708"/>
      <c r="E56" s="52"/>
      <c r="F56" s="53">
        <f>F54</f>
        <v>20948911819</v>
      </c>
      <c r="G56" s="53">
        <f>G54</f>
        <v>20663498728</v>
      </c>
    </row>
    <row r="57" spans="1:11" ht="15">
      <c r="A57" s="31"/>
      <c r="B57" s="708" t="s">
        <v>137</v>
      </c>
      <c r="C57" s="708"/>
      <c r="D57" s="708"/>
      <c r="E57" s="54"/>
      <c r="F57" s="53">
        <f>+F45+F56</f>
        <v>42736915326</v>
      </c>
      <c r="G57" s="53">
        <f>+G45+G56</f>
        <v>39308793725</v>
      </c>
    </row>
    <row r="58" spans="1:11" ht="12.75">
      <c r="A58" s="31"/>
      <c r="B58" s="36"/>
      <c r="C58" s="1"/>
      <c r="D58" s="1"/>
      <c r="E58" s="37"/>
      <c r="F58" s="700">
        <f>+F29-F57</f>
        <v>0.25</v>
      </c>
      <c r="G58" s="700">
        <f>+G29-G57</f>
        <v>0</v>
      </c>
    </row>
    <row r="59" spans="1:11" ht="12">
      <c r="B59" s="31" t="s">
        <v>138</v>
      </c>
      <c r="C59" s="31"/>
      <c r="D59" s="31"/>
      <c r="E59" s="56"/>
      <c r="F59" s="31"/>
      <c r="G59" s="41"/>
    </row>
    <row r="60" spans="1:11" ht="12">
      <c r="A60" s="31"/>
      <c r="B60" s="57"/>
      <c r="C60" s="31"/>
      <c r="D60" s="31"/>
      <c r="E60" s="56"/>
      <c r="F60" s="31"/>
      <c r="G60" s="58"/>
    </row>
    <row r="61" spans="1:11" ht="12">
      <c r="A61" s="31"/>
      <c r="B61" s="57"/>
      <c r="C61" s="31"/>
      <c r="D61" s="31"/>
      <c r="E61" s="56"/>
      <c r="F61" s="31"/>
      <c r="G61" s="58"/>
    </row>
    <row r="62" spans="1:11" ht="12">
      <c r="A62" s="31"/>
      <c r="B62" s="57"/>
      <c r="C62" s="31"/>
      <c r="D62" s="31"/>
      <c r="E62" s="56"/>
      <c r="F62" s="31"/>
      <c r="G62" s="58"/>
    </row>
    <row r="63" spans="1:11" ht="12">
      <c r="A63" s="31"/>
      <c r="B63" s="31"/>
      <c r="C63" s="31"/>
      <c r="D63" s="31"/>
      <c r="E63" s="56"/>
      <c r="F63" s="31"/>
      <c r="G63" s="31"/>
    </row>
    <row r="64" spans="1:11" s="62" customFormat="1" ht="15">
      <c r="A64" s="59"/>
      <c r="B64" s="60"/>
      <c r="C64" s="60"/>
      <c r="D64" s="60"/>
      <c r="E64" s="61"/>
      <c r="F64" s="703"/>
      <c r="G64" s="703"/>
      <c r="I64" s="404"/>
      <c r="J64" s="404"/>
      <c r="K64" s="404"/>
    </row>
    <row r="65" spans="1:11" s="62" customFormat="1" ht="15.75">
      <c r="B65" s="63"/>
      <c r="C65" s="63"/>
      <c r="D65" s="64"/>
      <c r="E65" s="65"/>
      <c r="F65" s="704"/>
      <c r="G65" s="704"/>
      <c r="I65" s="404"/>
      <c r="J65" s="404"/>
      <c r="K65" s="404"/>
    </row>
    <row r="66" spans="1:11" s="62" customFormat="1" ht="15.75">
      <c r="A66" s="59"/>
      <c r="B66" s="59"/>
      <c r="C66" s="59"/>
      <c r="D66" s="66"/>
      <c r="E66" s="67"/>
      <c r="F66" s="66"/>
      <c r="G66" s="59"/>
      <c r="I66" s="404"/>
      <c r="J66" s="404"/>
      <c r="K66" s="404"/>
    </row>
    <row r="67" spans="1:11" s="62" customFormat="1" ht="15.75">
      <c r="A67" s="59"/>
      <c r="B67" s="59"/>
      <c r="C67" s="59"/>
      <c r="D67" s="66"/>
      <c r="E67" s="67"/>
      <c r="F67" s="66"/>
      <c r="G67" s="59"/>
      <c r="I67" s="404"/>
      <c r="J67" s="404"/>
      <c r="K67" s="404"/>
    </row>
    <row r="68" spans="1:11" s="62" customFormat="1" ht="15.75">
      <c r="A68" s="59"/>
      <c r="B68" s="59"/>
      <c r="C68" s="59"/>
      <c r="D68" s="66"/>
      <c r="E68" s="67"/>
      <c r="F68" s="66"/>
      <c r="G68" s="59"/>
      <c r="I68" s="404"/>
      <c r="J68" s="404"/>
      <c r="K68" s="404"/>
    </row>
    <row r="69" spans="1:11" s="62" customFormat="1" ht="15">
      <c r="E69" s="68"/>
      <c r="F69" s="703"/>
      <c r="G69" s="703"/>
      <c r="I69" s="404"/>
      <c r="J69" s="404"/>
      <c r="K69" s="404"/>
    </row>
    <row r="70" spans="1:11" s="62" customFormat="1" ht="15.75">
      <c r="B70" s="66"/>
      <c r="C70" s="66"/>
      <c r="D70" s="66"/>
      <c r="E70" s="67"/>
      <c r="F70" s="704"/>
      <c r="G70" s="704"/>
      <c r="I70" s="404"/>
      <c r="J70" s="404"/>
      <c r="K70" s="404"/>
    </row>
    <row r="71" spans="1:11" s="66" customFormat="1" ht="15.75">
      <c r="B71" s="705"/>
      <c r="C71" s="705"/>
      <c r="D71" s="705"/>
      <c r="E71" s="67"/>
      <c r="I71" s="405"/>
      <c r="J71" s="405"/>
      <c r="K71" s="405"/>
    </row>
    <row r="72" spans="1:11" ht="12.75">
      <c r="A72" s="1"/>
      <c r="B72" s="1"/>
      <c r="C72" s="38"/>
      <c r="D72" s="3"/>
      <c r="E72" s="37"/>
      <c r="F72" s="3"/>
      <c r="G72" s="1"/>
    </row>
    <row r="73" spans="1:11">
      <c r="C73" s="69"/>
      <c r="D73" s="70"/>
      <c r="E73" s="71"/>
      <c r="F73" s="70"/>
    </row>
    <row r="74" spans="1:11">
      <c r="D74" s="72"/>
      <c r="E74" s="73"/>
      <c r="F74" s="72"/>
    </row>
    <row r="75" spans="1:11">
      <c r="D75" s="72"/>
      <c r="E75" s="73"/>
      <c r="F75" s="72"/>
    </row>
    <row r="76" spans="1:11">
      <c r="D76" s="72"/>
      <c r="E76" s="73"/>
      <c r="F76" s="72"/>
    </row>
    <row r="77" spans="1:11">
      <c r="D77" s="72"/>
      <c r="E77" s="73"/>
      <c r="F77" s="72"/>
    </row>
    <row r="78" spans="1:11">
      <c r="D78" s="72"/>
      <c r="E78" s="73"/>
      <c r="F78" s="72"/>
    </row>
    <row r="79" spans="1:11">
      <c r="E79" s="74"/>
    </row>
    <row r="80" spans="1:11">
      <c r="C80" s="75"/>
      <c r="E80" s="74"/>
    </row>
    <row r="81" spans="3:6">
      <c r="C81" s="69"/>
      <c r="D81" s="70"/>
      <c r="E81" s="71"/>
      <c r="F81" s="70"/>
    </row>
    <row r="82" spans="3:6">
      <c r="D82" s="70"/>
      <c r="E82" s="76"/>
      <c r="F82" s="70"/>
    </row>
  </sheetData>
  <mergeCells count="45">
    <mergeCell ref="C15:D15"/>
    <mergeCell ref="C16:D16"/>
    <mergeCell ref="C17:D17"/>
    <mergeCell ref="C18:D18"/>
    <mergeCell ref="C21:D21"/>
    <mergeCell ref="C23:D23"/>
    <mergeCell ref="C33:D33"/>
    <mergeCell ref="C34:D34"/>
    <mergeCell ref="C35:D35"/>
    <mergeCell ref="C36:D36"/>
    <mergeCell ref="C24:D24"/>
    <mergeCell ref="A7:G7"/>
    <mergeCell ref="A8:G8"/>
    <mergeCell ref="A9:G9"/>
    <mergeCell ref="B12:D12"/>
    <mergeCell ref="C14:D14"/>
    <mergeCell ref="C37:D37"/>
    <mergeCell ref="C25:D25"/>
    <mergeCell ref="C26:D26"/>
    <mergeCell ref="C27:D27"/>
    <mergeCell ref="C28:D28"/>
    <mergeCell ref="B29:D29"/>
    <mergeCell ref="B30:D30"/>
    <mergeCell ref="C32:D32"/>
    <mergeCell ref="C53:D53"/>
    <mergeCell ref="C38:D38"/>
    <mergeCell ref="C41:D41"/>
    <mergeCell ref="C42:D42"/>
    <mergeCell ref="B45:D45"/>
    <mergeCell ref="B46:D46"/>
    <mergeCell ref="C47:D47"/>
    <mergeCell ref="C48:D48"/>
    <mergeCell ref="C49:D49"/>
    <mergeCell ref="C50:D50"/>
    <mergeCell ref="C51:D51"/>
    <mergeCell ref="C52:D52"/>
    <mergeCell ref="F69:G69"/>
    <mergeCell ref="F70:G70"/>
    <mergeCell ref="B71:D71"/>
    <mergeCell ref="C54:D54"/>
    <mergeCell ref="C55:D55"/>
    <mergeCell ref="B56:D56"/>
    <mergeCell ref="B57:D57"/>
    <mergeCell ref="F64:G64"/>
    <mergeCell ref="F65:G65"/>
  </mergeCells>
  <hyperlinks>
    <hyperlink ref="E14" location="'Nota 3'!A1" display="'Nota 3'!A1" xr:uid="{00000000-0004-0000-0100-000000000000}"/>
    <hyperlink ref="E15" location="'Nota 4'!A1" display="'Nota 4'!A1" xr:uid="{00000000-0004-0000-0100-000001000000}"/>
    <hyperlink ref="E16" location="'Nota 5'!A1" display="'Nota 5'!A1" xr:uid="{00000000-0004-0000-0100-000002000000}"/>
    <hyperlink ref="E17" location="'Nota 6'!A1" display="'Nota 6'!A1" xr:uid="{00000000-0004-0000-0100-000003000000}"/>
    <hyperlink ref="E18" location="'Nota 7'!A1" display="'Nota 7'!A1" xr:uid="{00000000-0004-0000-0100-000004000000}"/>
    <hyperlink ref="E21" location="'Nota 6'!A1" display="'Nota 6'!A1" xr:uid="{00000000-0004-0000-0100-000005000000}"/>
    <hyperlink ref="E23" location="'Nota 8'!A1" display="'Nota 8'!A1" xr:uid="{00000000-0004-0000-0100-000006000000}"/>
    <hyperlink ref="E24" location="'Nota 9'!A1" display="'Nota 9'!A1" xr:uid="{00000000-0004-0000-0100-000007000000}"/>
    <hyperlink ref="E25" location="'Nota 10'!A1" display="'Nota 10'!A1" xr:uid="{00000000-0004-0000-0100-000008000000}"/>
    <hyperlink ref="E26" location="'Nota 11'!A1" display="'Nota 11'!A1" xr:uid="{00000000-0004-0000-0100-000009000000}"/>
    <hyperlink ref="E27" location="'Nota 12'!A1" display="'Nota 12'!A1" xr:uid="{00000000-0004-0000-0100-00000A000000}"/>
    <hyperlink ref="E32" location="'Nota 13'!A1" display="'Nota 13'!A1" xr:uid="{00000000-0004-0000-0100-00000B000000}"/>
    <hyperlink ref="E33" location="'Nota 14'!A1" display="'Nota 14'!A1" xr:uid="{00000000-0004-0000-0100-00000C000000}"/>
    <hyperlink ref="E41" location="'Nota 14'!A1" display="'Nota 14'!A1" xr:uid="{00000000-0004-0000-0100-00000D000000}"/>
    <hyperlink ref="E34" location="'Nota 15'!A1" display="'Nota 15'!A1" xr:uid="{00000000-0004-0000-0100-00000E000000}"/>
    <hyperlink ref="E35" location="'Nota 16'!A1" display="'Nota 16'!A1" xr:uid="{00000000-0004-0000-0100-00000F000000}"/>
    <hyperlink ref="E36" location="'Nota 17'!A1" display="'Nota 17'!A1" xr:uid="{00000000-0004-0000-0100-000010000000}"/>
    <hyperlink ref="E37" location="'Nota 18'!A1" display="'Nota 18'!A1" xr:uid="{00000000-0004-0000-0100-000011000000}"/>
    <hyperlink ref="E38" location="'Nota 19'!A1" display="'Nota 19'!A1" xr:uid="{00000000-0004-0000-0100-000012000000}"/>
    <hyperlink ref="E42" location="'Nota 19'!A1" display="'Nota 19'!A1" xr:uid="{00000000-0004-0000-0100-000013000000}"/>
    <hyperlink ref="E47" location="'Nota 20'!A1" display="'Nota 20'!A1" xr:uid="{00000000-0004-0000-0100-000014000000}"/>
    <hyperlink ref="E52" location="'Nota 22'!A1" display="'Nota 22'!A1" xr:uid="{00000000-0004-0000-0100-000015000000}"/>
    <hyperlink ref="E48" location="' Nota 21'!A1" display="' Nota 21'!A1" xr:uid="{00000000-0004-0000-0100-000016000000}"/>
    <hyperlink ref="E49" location="' Nota 21'!A1" display="' Nota 21'!A1" xr:uid="{00000000-0004-0000-0100-000017000000}"/>
    <hyperlink ref="E50" location="' Nota 21'!A1" display="' Nota 21'!A1" xr:uid="{00000000-0004-0000-0100-000018000000}"/>
    <hyperlink ref="E51" location="' Nota 21'!A1" display="' Nota 21'!A1" xr:uid="{00000000-0004-0000-0100-000019000000}"/>
    <hyperlink ref="E53" location="'Nota 23'!A1" display="'Nota 23'!A1" xr:uid="{00000000-0004-0000-0100-00001A000000}"/>
    <hyperlink ref="E55" location="'Nota 24'!A1" display="'Nota 24'!A1" xr:uid="{00000000-0004-0000-0100-00001B000000}"/>
    <hyperlink ref="E1" location="Indice!A1" display="Indice" xr:uid="{00000000-0004-0000-0100-00001C000000}"/>
    <hyperlink ref="E22" location="'Nota 5'!A1" display="'Nota 5'!A1" xr:uid="{00000000-0004-0000-0100-00001D000000}"/>
  </hyperlinks>
  <pageMargins left="0.25" right="0.25" top="0.75" bottom="0.75" header="0.3" footer="0.3"/>
  <pageSetup paperSize="9" scale="82" fitToWidth="0" orientation="portrait"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499984740745262"/>
    <pageSetUpPr fitToPage="1"/>
  </sheetPr>
  <dimension ref="A1:IV21"/>
  <sheetViews>
    <sheetView showGridLines="0" workbookViewId="0">
      <selection activeCell="C7" sqref="C7"/>
    </sheetView>
  </sheetViews>
  <sheetFormatPr baseColWidth="10" defaultRowHeight="15"/>
  <cols>
    <col min="1" max="1" width="34.140625" customWidth="1"/>
    <col min="2" max="3" width="22.7109375" customWidth="1"/>
  </cols>
  <sheetData>
    <row r="1" spans="1:256">
      <c r="C1" s="124" t="s">
        <v>18</v>
      </c>
    </row>
    <row r="4" spans="1:256">
      <c r="A4" s="125" t="s">
        <v>325</v>
      </c>
      <c r="B4" s="125"/>
      <c r="C4" s="125"/>
      <c r="D4" s="125"/>
      <c r="E4" s="811"/>
      <c r="F4" s="811"/>
      <c r="G4" s="811"/>
      <c r="H4" s="811"/>
      <c r="I4" s="811"/>
      <c r="J4" s="811"/>
      <c r="K4" s="811"/>
      <c r="L4" s="811"/>
      <c r="M4" s="811"/>
      <c r="N4" s="811"/>
      <c r="O4" s="811"/>
      <c r="P4" s="811"/>
      <c r="Q4" s="811"/>
      <c r="R4" s="811"/>
      <c r="S4" s="811"/>
      <c r="T4" s="811"/>
      <c r="U4" s="811"/>
      <c r="V4" s="811"/>
      <c r="W4" s="811"/>
      <c r="X4" s="811"/>
      <c r="Y4" s="811"/>
      <c r="Z4" s="811"/>
      <c r="AA4" s="811"/>
      <c r="AB4" s="811"/>
      <c r="AC4" s="811"/>
      <c r="AD4" s="811"/>
      <c r="AE4" s="811"/>
      <c r="AF4" s="811"/>
      <c r="AG4" s="811"/>
      <c r="AH4" s="811"/>
      <c r="AI4" s="811"/>
      <c r="AJ4" s="811"/>
      <c r="AK4" s="811"/>
      <c r="AL4" s="811"/>
      <c r="AM4" s="811"/>
      <c r="AN4" s="811"/>
      <c r="AO4" s="811"/>
      <c r="AP4" s="811"/>
      <c r="AQ4" s="811"/>
      <c r="AR4" s="811"/>
      <c r="AS4" s="811"/>
      <c r="AT4" s="811"/>
      <c r="AU4" s="811"/>
      <c r="AV4" s="811"/>
      <c r="AW4" s="811"/>
      <c r="AX4" s="811"/>
      <c r="AY4" s="811"/>
      <c r="AZ4" s="811"/>
      <c r="BA4" s="811"/>
      <c r="BB4" s="811"/>
      <c r="BC4" s="811"/>
      <c r="BD4" s="811"/>
      <c r="BE4" s="811"/>
      <c r="BF4" s="811"/>
      <c r="BG4" s="811"/>
      <c r="BH4" s="811"/>
      <c r="BI4" s="811"/>
      <c r="BJ4" s="811"/>
      <c r="BK4" s="811"/>
      <c r="BL4" s="811"/>
      <c r="BM4" s="811"/>
      <c r="BN4" s="811"/>
      <c r="BO4" s="811"/>
      <c r="BP4" s="811"/>
      <c r="BQ4" s="811"/>
      <c r="BR4" s="811"/>
      <c r="BS4" s="811"/>
      <c r="BT4" s="811"/>
      <c r="BU4" s="811"/>
      <c r="BV4" s="811"/>
      <c r="BW4" s="811"/>
      <c r="BX4" s="811"/>
      <c r="BY4" s="811"/>
      <c r="BZ4" s="811"/>
      <c r="CA4" s="811"/>
      <c r="CB4" s="811"/>
      <c r="CC4" s="811"/>
      <c r="CD4" s="811"/>
      <c r="CE4" s="811"/>
      <c r="CF4" s="811"/>
      <c r="CG4" s="811"/>
      <c r="CH4" s="811"/>
      <c r="CI4" s="811"/>
      <c r="CJ4" s="811"/>
      <c r="CK4" s="811"/>
      <c r="CL4" s="811"/>
      <c r="CM4" s="811"/>
      <c r="CN4" s="811"/>
      <c r="CO4" s="811"/>
      <c r="CP4" s="811"/>
      <c r="CQ4" s="811"/>
      <c r="CR4" s="811"/>
      <c r="CS4" s="811"/>
      <c r="CT4" s="811"/>
      <c r="CU4" s="811"/>
      <c r="CV4" s="811"/>
      <c r="CW4" s="811"/>
      <c r="CX4" s="811"/>
      <c r="CY4" s="811"/>
      <c r="CZ4" s="811"/>
      <c r="DA4" s="811"/>
      <c r="DB4" s="811"/>
      <c r="DC4" s="811"/>
      <c r="DD4" s="811"/>
      <c r="DE4" s="811"/>
      <c r="DF4" s="811"/>
      <c r="DG4" s="811"/>
      <c r="DH4" s="811"/>
      <c r="DI4" s="811"/>
      <c r="DJ4" s="811"/>
      <c r="DK4" s="811"/>
      <c r="DL4" s="811"/>
      <c r="DM4" s="811"/>
      <c r="DN4" s="811"/>
      <c r="DO4" s="811"/>
      <c r="DP4" s="811"/>
      <c r="DQ4" s="811"/>
      <c r="DR4" s="811"/>
      <c r="DS4" s="811"/>
      <c r="DT4" s="811"/>
      <c r="DU4" s="811"/>
      <c r="DV4" s="811"/>
      <c r="DW4" s="811"/>
      <c r="DX4" s="811"/>
      <c r="DY4" s="811"/>
      <c r="DZ4" s="811"/>
      <c r="EA4" s="811"/>
      <c r="EB4" s="811"/>
      <c r="EC4" s="811"/>
      <c r="ED4" s="811"/>
      <c r="EE4" s="811"/>
      <c r="EF4" s="811"/>
      <c r="EG4" s="811"/>
      <c r="EH4" s="811"/>
      <c r="EI4" s="811"/>
      <c r="EJ4" s="811"/>
      <c r="EK4" s="811"/>
      <c r="EL4" s="811"/>
      <c r="EM4" s="811"/>
      <c r="EN4" s="811"/>
      <c r="EO4" s="811"/>
      <c r="EP4" s="811"/>
      <c r="EQ4" s="811"/>
      <c r="ER4" s="811"/>
      <c r="ES4" s="811"/>
      <c r="ET4" s="811"/>
      <c r="EU4" s="811"/>
      <c r="EV4" s="811"/>
      <c r="EW4" s="811"/>
      <c r="EX4" s="811"/>
      <c r="EY4" s="811"/>
      <c r="EZ4" s="811"/>
      <c r="FA4" s="811"/>
      <c r="FB4" s="811"/>
      <c r="FC4" s="811"/>
      <c r="FD4" s="811"/>
      <c r="FE4" s="811"/>
      <c r="FF4" s="811"/>
      <c r="FG4" s="811"/>
      <c r="FH4" s="811"/>
      <c r="FI4" s="811"/>
      <c r="FJ4" s="811"/>
      <c r="FK4" s="811"/>
      <c r="FL4" s="811"/>
      <c r="FM4" s="811"/>
      <c r="FN4" s="811"/>
      <c r="FO4" s="811"/>
      <c r="FP4" s="811"/>
      <c r="FQ4" s="811"/>
      <c r="FR4" s="811"/>
      <c r="FS4" s="811"/>
      <c r="FT4" s="811"/>
      <c r="FU4" s="811"/>
      <c r="FV4" s="811"/>
      <c r="FW4" s="811"/>
      <c r="FX4" s="811"/>
      <c r="FY4" s="811"/>
      <c r="FZ4" s="811"/>
      <c r="GA4" s="811"/>
      <c r="GB4" s="811"/>
      <c r="GC4" s="811"/>
      <c r="GD4" s="811"/>
      <c r="GE4" s="811"/>
      <c r="GF4" s="811"/>
      <c r="GG4" s="811"/>
      <c r="GH4" s="811"/>
      <c r="GI4" s="811"/>
      <c r="GJ4" s="811"/>
      <c r="GK4" s="811"/>
      <c r="GL4" s="811"/>
      <c r="GM4" s="811"/>
      <c r="GN4" s="811"/>
      <c r="GO4" s="811"/>
      <c r="GP4" s="811"/>
      <c r="GQ4" s="811"/>
      <c r="GR4" s="811"/>
      <c r="GS4" s="811"/>
      <c r="GT4" s="811"/>
      <c r="GU4" s="811"/>
      <c r="GV4" s="811"/>
      <c r="GW4" s="811"/>
      <c r="GX4" s="811"/>
      <c r="GY4" s="811"/>
      <c r="GZ4" s="811"/>
      <c r="HA4" s="811"/>
      <c r="HB4" s="811"/>
      <c r="HC4" s="811"/>
      <c r="HD4" s="811"/>
      <c r="HE4" s="811"/>
      <c r="HF4" s="811"/>
      <c r="HG4" s="811"/>
      <c r="HH4" s="811"/>
      <c r="HI4" s="811"/>
      <c r="HJ4" s="811"/>
      <c r="HK4" s="811"/>
      <c r="HL4" s="811"/>
      <c r="HM4" s="811"/>
      <c r="HN4" s="811"/>
      <c r="HO4" s="811"/>
      <c r="HP4" s="811"/>
      <c r="HQ4" s="811"/>
      <c r="HR4" s="811"/>
      <c r="HS4" s="811"/>
      <c r="HT4" s="811"/>
      <c r="HU4" s="811"/>
      <c r="HV4" s="811"/>
      <c r="HW4" s="811"/>
      <c r="HX4" s="811"/>
      <c r="HY4" s="811"/>
      <c r="HZ4" s="811"/>
      <c r="IA4" s="811"/>
      <c r="IB4" s="811"/>
      <c r="IC4" s="811"/>
      <c r="ID4" s="811"/>
      <c r="IE4" s="811"/>
      <c r="IF4" s="811"/>
      <c r="IG4" s="811"/>
      <c r="IH4" s="811"/>
      <c r="II4" s="811"/>
      <c r="IJ4" s="811"/>
      <c r="IK4" s="811"/>
      <c r="IL4" s="811"/>
      <c r="IM4" s="811"/>
      <c r="IN4" s="811"/>
      <c r="IO4" s="811"/>
      <c r="IP4" s="811"/>
      <c r="IQ4" s="811"/>
      <c r="IR4" s="811"/>
      <c r="IS4" s="811"/>
      <c r="IT4" s="811"/>
      <c r="IU4" s="811"/>
      <c r="IV4" s="811"/>
    </row>
    <row r="5" spans="1:256">
      <c r="B5" s="819" t="s">
        <v>2085</v>
      </c>
      <c r="C5" s="819"/>
    </row>
    <row r="6" spans="1:256" ht="15.75" customHeight="1">
      <c r="A6" s="242"/>
      <c r="B6" s="211">
        <v>2024</v>
      </c>
      <c r="C6" s="211">
        <v>2023</v>
      </c>
      <c r="D6" s="242"/>
    </row>
    <row r="7" spans="1:256" ht="15" customHeight="1">
      <c r="A7" s="243" t="s">
        <v>326</v>
      </c>
      <c r="B7" s="244"/>
      <c r="C7" s="244"/>
      <c r="D7" s="244"/>
    </row>
    <row r="8" spans="1:256" ht="15" customHeight="1">
      <c r="A8" s="245" t="s">
        <v>327</v>
      </c>
      <c r="B8" s="245"/>
      <c r="C8" s="245"/>
      <c r="D8" s="245"/>
      <c r="E8" s="809"/>
      <c r="F8" s="809"/>
      <c r="G8" s="809"/>
      <c r="H8" s="809"/>
      <c r="I8" s="809"/>
      <c r="J8" s="809"/>
      <c r="K8" s="809"/>
      <c r="L8" s="809"/>
      <c r="M8" s="809"/>
      <c r="N8" s="809"/>
      <c r="O8" s="809"/>
      <c r="P8" s="809"/>
      <c r="Q8" s="809"/>
      <c r="R8" s="809"/>
      <c r="S8" s="809"/>
      <c r="T8" s="809"/>
      <c r="U8" s="809"/>
      <c r="V8" s="809"/>
      <c r="W8" s="809"/>
      <c r="X8" s="809"/>
      <c r="Y8" s="809"/>
      <c r="Z8" s="809"/>
      <c r="AA8" s="809"/>
      <c r="AB8" s="809"/>
      <c r="AC8" s="809"/>
      <c r="AD8" s="809"/>
      <c r="AE8" s="809"/>
      <c r="AF8" s="809"/>
      <c r="AG8" s="809"/>
      <c r="AH8" s="809"/>
      <c r="AI8" s="809"/>
      <c r="AJ8" s="809"/>
      <c r="AK8" s="809"/>
      <c r="AL8" s="809"/>
      <c r="AM8" s="809"/>
      <c r="AN8" s="809"/>
      <c r="AO8" s="809"/>
      <c r="AP8" s="809"/>
      <c r="AQ8" s="809"/>
      <c r="AR8" s="809"/>
      <c r="AS8" s="809"/>
      <c r="AT8" s="809"/>
      <c r="AU8" s="809"/>
      <c r="AV8" s="809"/>
      <c r="AW8" s="809"/>
      <c r="AX8" s="809"/>
      <c r="AY8" s="809"/>
      <c r="AZ8" s="809"/>
      <c r="BA8" s="809"/>
      <c r="BB8" s="809"/>
      <c r="BC8" s="809"/>
      <c r="BD8" s="809"/>
      <c r="BE8" s="809"/>
      <c r="BF8" s="809"/>
      <c r="BG8" s="809"/>
      <c r="BH8" s="809"/>
      <c r="BI8" s="809"/>
      <c r="BJ8" s="809"/>
      <c r="BK8" s="809"/>
      <c r="BL8" s="809"/>
      <c r="BM8" s="809"/>
      <c r="BN8" s="809"/>
      <c r="BO8" s="809"/>
      <c r="BP8" s="809"/>
      <c r="BQ8" s="809"/>
      <c r="BR8" s="809"/>
      <c r="BS8" s="809"/>
      <c r="BT8" s="809"/>
      <c r="BU8" s="809"/>
      <c r="BV8" s="809"/>
      <c r="BW8" s="809"/>
      <c r="BX8" s="809"/>
      <c r="BY8" s="809"/>
      <c r="BZ8" s="809"/>
      <c r="CA8" s="809"/>
      <c r="CB8" s="809"/>
      <c r="CC8" s="809"/>
      <c r="CD8" s="809"/>
      <c r="CE8" s="809"/>
      <c r="CF8" s="809"/>
      <c r="CG8" s="809"/>
      <c r="CH8" s="809"/>
      <c r="CI8" s="809"/>
      <c r="CJ8" s="809"/>
      <c r="CK8" s="809"/>
      <c r="CL8" s="809"/>
      <c r="CM8" s="809"/>
      <c r="CN8" s="809"/>
      <c r="CO8" s="809"/>
      <c r="CP8" s="809"/>
      <c r="CQ8" s="809"/>
      <c r="CR8" s="809"/>
      <c r="CS8" s="809"/>
      <c r="CT8" s="809"/>
      <c r="CU8" s="809"/>
      <c r="CV8" s="809"/>
      <c r="CW8" s="809"/>
      <c r="CX8" s="809"/>
      <c r="CY8" s="809"/>
      <c r="CZ8" s="809"/>
      <c r="DA8" s="809"/>
      <c r="DB8" s="809"/>
      <c r="DC8" s="809"/>
      <c r="DD8" s="809"/>
      <c r="DE8" s="809"/>
      <c r="DF8" s="809"/>
      <c r="DG8" s="809"/>
      <c r="DH8" s="809"/>
      <c r="DI8" s="809"/>
      <c r="DJ8" s="809"/>
      <c r="DK8" s="809"/>
      <c r="DL8" s="809"/>
      <c r="DM8" s="809"/>
      <c r="DN8" s="809"/>
      <c r="DO8" s="809"/>
      <c r="DP8" s="809"/>
      <c r="DQ8" s="809"/>
      <c r="DR8" s="809"/>
      <c r="DS8" s="809"/>
      <c r="DT8" s="809"/>
      <c r="DU8" s="809"/>
      <c r="DV8" s="809"/>
      <c r="DW8" s="809"/>
      <c r="DX8" s="809"/>
      <c r="DY8" s="809"/>
      <c r="DZ8" s="809"/>
      <c r="EA8" s="809"/>
      <c r="EB8" s="809"/>
      <c r="EC8" s="809"/>
      <c r="ED8" s="809"/>
      <c r="EE8" s="809"/>
      <c r="EF8" s="809"/>
      <c r="EG8" s="809"/>
      <c r="EH8" s="809"/>
      <c r="EI8" s="809"/>
      <c r="EJ8" s="809"/>
      <c r="EK8" s="809"/>
      <c r="EL8" s="809"/>
      <c r="EM8" s="809"/>
      <c r="EN8" s="809"/>
      <c r="EO8" s="809"/>
      <c r="EP8" s="809"/>
      <c r="EQ8" s="809"/>
      <c r="ER8" s="809"/>
      <c r="ES8" s="809"/>
      <c r="ET8" s="809"/>
      <c r="EU8" s="809"/>
      <c r="EV8" s="809"/>
      <c r="EW8" s="809"/>
      <c r="EX8" s="809"/>
      <c r="EY8" s="809"/>
      <c r="EZ8" s="809"/>
      <c r="FA8" s="809"/>
      <c r="FB8" s="809"/>
      <c r="FC8" s="809"/>
      <c r="FD8" s="809"/>
      <c r="FE8" s="809"/>
      <c r="FF8" s="809"/>
      <c r="FG8" s="809"/>
      <c r="FH8" s="809"/>
      <c r="FI8" s="809"/>
      <c r="FJ8" s="809"/>
      <c r="FK8" s="809"/>
      <c r="FL8" s="809"/>
      <c r="FM8" s="809"/>
      <c r="FN8" s="809"/>
      <c r="FO8" s="809"/>
      <c r="FP8" s="809"/>
      <c r="FQ8" s="809"/>
      <c r="FR8" s="809"/>
      <c r="FS8" s="809"/>
      <c r="FT8" s="809"/>
      <c r="FU8" s="809"/>
      <c r="FV8" s="809"/>
      <c r="FW8" s="809"/>
      <c r="FX8" s="809"/>
      <c r="FY8" s="809"/>
      <c r="FZ8" s="809"/>
      <c r="GA8" s="809"/>
      <c r="GB8" s="809"/>
      <c r="GC8" s="809"/>
      <c r="GD8" s="809"/>
      <c r="GE8" s="809"/>
      <c r="GF8" s="809"/>
      <c r="GG8" s="809"/>
      <c r="GH8" s="809"/>
      <c r="GI8" s="809"/>
      <c r="GJ8" s="809"/>
      <c r="GK8" s="809"/>
      <c r="GL8" s="809"/>
      <c r="GM8" s="809"/>
      <c r="GN8" s="809"/>
      <c r="GO8" s="809"/>
      <c r="GP8" s="809"/>
      <c r="GQ8" s="809"/>
      <c r="GR8" s="809"/>
      <c r="GS8" s="809"/>
      <c r="GT8" s="809"/>
      <c r="GU8" s="809"/>
      <c r="GV8" s="809"/>
      <c r="GW8" s="809"/>
      <c r="GX8" s="809"/>
      <c r="GY8" s="809"/>
      <c r="GZ8" s="809"/>
      <c r="HA8" s="809"/>
      <c r="HB8" s="809"/>
      <c r="HC8" s="809"/>
      <c r="HD8" s="809"/>
      <c r="HE8" s="809"/>
      <c r="HF8" s="809"/>
      <c r="HG8" s="809"/>
      <c r="HH8" s="809"/>
      <c r="HI8" s="809"/>
      <c r="HJ8" s="809"/>
      <c r="HK8" s="809"/>
      <c r="HL8" s="809"/>
      <c r="HM8" s="809"/>
      <c r="HN8" s="809"/>
      <c r="HO8" s="809"/>
      <c r="HP8" s="809"/>
      <c r="HQ8" s="809"/>
      <c r="HR8" s="809"/>
      <c r="HS8" s="809"/>
      <c r="HT8" s="809"/>
      <c r="HU8" s="809"/>
      <c r="HV8" s="809"/>
      <c r="HW8" s="809"/>
      <c r="HX8" s="809"/>
      <c r="HY8" s="809"/>
      <c r="HZ8" s="809"/>
      <c r="IA8" s="809"/>
      <c r="IB8" s="809"/>
      <c r="IC8" s="809"/>
      <c r="ID8" s="809"/>
      <c r="IE8" s="809"/>
      <c r="IF8" s="809"/>
      <c r="IG8" s="809"/>
      <c r="IH8" s="809"/>
      <c r="II8" s="809"/>
      <c r="IJ8" s="809"/>
      <c r="IK8" s="809"/>
      <c r="IL8" s="809"/>
      <c r="IM8" s="809"/>
      <c r="IN8" s="809"/>
      <c r="IO8" s="809"/>
      <c r="IP8" s="809"/>
      <c r="IQ8" s="809"/>
      <c r="IR8" s="809"/>
      <c r="IS8" s="809"/>
      <c r="IT8" s="809"/>
      <c r="IU8" s="809"/>
      <c r="IV8" s="809"/>
    </row>
    <row r="9" spans="1:256" ht="15" customHeight="1">
      <c r="A9" s="246" t="s">
        <v>161</v>
      </c>
      <c r="B9" s="247">
        <f>B8</f>
        <v>0</v>
      </c>
      <c r="C9" s="247">
        <f>C8</f>
        <v>0</v>
      </c>
      <c r="D9" s="245"/>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244"/>
      <c r="BK9" s="244"/>
      <c r="BL9" s="244"/>
      <c r="BM9" s="244"/>
      <c r="BN9" s="244"/>
      <c r="BO9" s="244"/>
      <c r="BP9" s="244"/>
      <c r="BQ9" s="244"/>
      <c r="BR9" s="244"/>
      <c r="BS9" s="244"/>
      <c r="BT9" s="244"/>
      <c r="BU9" s="244"/>
      <c r="BV9" s="244"/>
      <c r="BW9" s="244"/>
      <c r="BX9" s="244"/>
      <c r="BY9" s="244"/>
      <c r="BZ9" s="244"/>
      <c r="CA9" s="244"/>
      <c r="CB9" s="244"/>
      <c r="CC9" s="244"/>
      <c r="CD9" s="244"/>
      <c r="CE9" s="244"/>
      <c r="CF9" s="244"/>
      <c r="CG9" s="244"/>
      <c r="CH9" s="244"/>
      <c r="CI9" s="244"/>
      <c r="CJ9" s="244"/>
      <c r="CK9" s="244"/>
      <c r="CL9" s="244"/>
      <c r="CM9" s="244"/>
      <c r="CN9" s="244"/>
      <c r="CO9" s="244"/>
      <c r="CP9" s="244"/>
      <c r="CQ9" s="244"/>
      <c r="CR9" s="244"/>
      <c r="CS9" s="244"/>
      <c r="CT9" s="244"/>
      <c r="CU9" s="244"/>
      <c r="CV9" s="244"/>
      <c r="CW9" s="244"/>
      <c r="CX9" s="244"/>
      <c r="CY9" s="244"/>
      <c r="CZ9" s="244"/>
      <c r="DA9" s="244"/>
      <c r="DB9" s="244"/>
      <c r="DC9" s="244"/>
      <c r="DD9" s="244"/>
      <c r="DE9" s="244"/>
      <c r="DF9" s="244"/>
      <c r="DG9" s="244"/>
      <c r="DH9" s="244"/>
      <c r="DI9" s="244"/>
      <c r="DJ9" s="244"/>
      <c r="DK9" s="244"/>
      <c r="DL9" s="244"/>
      <c r="DM9" s="244"/>
      <c r="DN9" s="244"/>
      <c r="DO9" s="244"/>
      <c r="DP9" s="244"/>
      <c r="DQ9" s="244"/>
      <c r="DR9" s="244"/>
      <c r="DS9" s="244"/>
      <c r="DT9" s="244"/>
      <c r="DU9" s="244"/>
      <c r="DV9" s="244"/>
      <c r="DW9" s="244"/>
      <c r="DX9" s="244"/>
      <c r="DY9" s="244"/>
      <c r="DZ9" s="244"/>
      <c r="EA9" s="244"/>
      <c r="EB9" s="244"/>
      <c r="EC9" s="244"/>
      <c r="ED9" s="244"/>
      <c r="EE9" s="244"/>
      <c r="EF9" s="244"/>
      <c r="EG9" s="244"/>
      <c r="EH9" s="244"/>
      <c r="EI9" s="244"/>
      <c r="EJ9" s="244"/>
      <c r="EK9" s="244"/>
      <c r="EL9" s="244"/>
      <c r="EM9" s="244"/>
      <c r="EN9" s="244"/>
      <c r="EO9" s="244"/>
      <c r="EP9" s="244"/>
      <c r="EQ9" s="244"/>
      <c r="ER9" s="244"/>
      <c r="ES9" s="244"/>
      <c r="ET9" s="244"/>
      <c r="EU9" s="244"/>
      <c r="EV9" s="244"/>
      <c r="EW9" s="244"/>
      <c r="EX9" s="244"/>
      <c r="EY9" s="244"/>
      <c r="EZ9" s="244"/>
      <c r="FA9" s="244"/>
      <c r="FB9" s="244"/>
      <c r="FC9" s="244"/>
      <c r="FD9" s="244"/>
      <c r="FE9" s="244"/>
      <c r="FF9" s="244"/>
      <c r="FG9" s="244"/>
      <c r="FH9" s="244"/>
      <c r="FI9" s="244"/>
      <c r="FJ9" s="244"/>
      <c r="FK9" s="244"/>
      <c r="FL9" s="244"/>
      <c r="FM9" s="244"/>
      <c r="FN9" s="244"/>
      <c r="FO9" s="244"/>
      <c r="FP9" s="244"/>
      <c r="FQ9" s="244"/>
      <c r="FR9" s="244"/>
      <c r="FS9" s="244"/>
      <c r="FT9" s="244"/>
      <c r="FU9" s="244"/>
      <c r="FV9" s="244"/>
      <c r="FW9" s="244"/>
      <c r="FX9" s="244"/>
      <c r="FY9" s="244"/>
      <c r="FZ9" s="244"/>
      <c r="GA9" s="244"/>
      <c r="GB9" s="244"/>
      <c r="GC9" s="244"/>
      <c r="GD9" s="244"/>
      <c r="GE9" s="244"/>
      <c r="GF9" s="244"/>
      <c r="GG9" s="244"/>
      <c r="GH9" s="244"/>
      <c r="GI9" s="244"/>
      <c r="GJ9" s="244"/>
      <c r="GK9" s="244"/>
      <c r="GL9" s="244"/>
      <c r="GM9" s="244"/>
      <c r="GN9" s="244"/>
      <c r="GO9" s="244"/>
      <c r="GP9" s="244"/>
      <c r="GQ9" s="244"/>
      <c r="GR9" s="244"/>
      <c r="GS9" s="244"/>
      <c r="GT9" s="244"/>
      <c r="GU9" s="244"/>
      <c r="GV9" s="244"/>
      <c r="GW9" s="244"/>
      <c r="GX9" s="244"/>
      <c r="GY9" s="244"/>
      <c r="GZ9" s="244"/>
      <c r="HA9" s="244"/>
      <c r="HB9" s="244"/>
      <c r="HC9" s="244"/>
      <c r="HD9" s="244"/>
      <c r="HE9" s="244"/>
      <c r="HF9" s="244"/>
      <c r="HG9" s="244"/>
      <c r="HH9" s="244"/>
      <c r="HI9" s="244"/>
      <c r="HJ9" s="244"/>
      <c r="HK9" s="244"/>
      <c r="HL9" s="244"/>
      <c r="HM9" s="244"/>
      <c r="HN9" s="244"/>
      <c r="HO9" s="244"/>
      <c r="HP9" s="244"/>
      <c r="HQ9" s="244"/>
      <c r="HR9" s="244"/>
      <c r="HS9" s="244"/>
      <c r="HT9" s="244"/>
      <c r="HU9" s="244"/>
      <c r="HV9" s="244"/>
      <c r="HW9" s="244"/>
      <c r="HX9" s="244"/>
      <c r="HY9" s="244"/>
      <c r="HZ9" s="244"/>
      <c r="IA9" s="244"/>
      <c r="IB9" s="244"/>
      <c r="IC9" s="244"/>
      <c r="ID9" s="244"/>
      <c r="IE9" s="244"/>
      <c r="IF9" s="244"/>
      <c r="IG9" s="244"/>
      <c r="IH9" s="244"/>
      <c r="II9" s="244"/>
      <c r="IJ9" s="244"/>
      <c r="IK9" s="244"/>
      <c r="IL9" s="244"/>
      <c r="IM9" s="244"/>
      <c r="IN9" s="244"/>
      <c r="IO9" s="244"/>
      <c r="IP9" s="244"/>
      <c r="IQ9" s="244"/>
      <c r="IR9" s="244"/>
      <c r="IS9" s="244"/>
      <c r="IT9" s="244"/>
      <c r="IU9" s="244"/>
      <c r="IV9" s="244"/>
    </row>
    <row r="10" spans="1:256" ht="15" customHeight="1">
      <c r="A10" s="245"/>
      <c r="B10" s="245"/>
      <c r="C10" s="245"/>
      <c r="D10" s="245"/>
      <c r="E10" s="809"/>
      <c r="F10" s="809"/>
      <c r="G10" s="809"/>
      <c r="H10" s="809"/>
      <c r="I10" s="809"/>
      <c r="J10" s="809"/>
      <c r="K10" s="809"/>
      <c r="L10" s="809"/>
      <c r="M10" s="809"/>
      <c r="N10" s="809"/>
      <c r="O10" s="809"/>
      <c r="P10" s="809"/>
      <c r="Q10" s="809"/>
      <c r="R10" s="809"/>
      <c r="S10" s="809"/>
      <c r="T10" s="809"/>
      <c r="U10" s="809"/>
      <c r="V10" s="809"/>
      <c r="W10" s="809"/>
      <c r="X10" s="809"/>
      <c r="Y10" s="809"/>
      <c r="Z10" s="809"/>
      <c r="AA10" s="809"/>
      <c r="AB10" s="809"/>
      <c r="AC10" s="809"/>
      <c r="AD10" s="809"/>
      <c r="AE10" s="809"/>
      <c r="AF10" s="809"/>
      <c r="AG10" s="809"/>
      <c r="AH10" s="809"/>
      <c r="AI10" s="809"/>
      <c r="AJ10" s="809"/>
      <c r="AK10" s="809"/>
      <c r="AL10" s="809"/>
      <c r="AM10" s="809"/>
      <c r="AN10" s="809"/>
      <c r="AO10" s="809"/>
      <c r="AP10" s="809"/>
      <c r="AQ10" s="809"/>
      <c r="AR10" s="809"/>
      <c r="AS10" s="809"/>
      <c r="AT10" s="809"/>
      <c r="AU10" s="809"/>
      <c r="AV10" s="809"/>
      <c r="AW10" s="809"/>
      <c r="AX10" s="809"/>
      <c r="AY10" s="809"/>
      <c r="AZ10" s="809"/>
      <c r="BA10" s="809"/>
      <c r="BB10" s="809"/>
      <c r="BC10" s="809"/>
      <c r="BD10" s="809"/>
      <c r="BE10" s="809"/>
      <c r="BF10" s="809"/>
      <c r="BG10" s="809"/>
      <c r="BH10" s="809"/>
      <c r="BI10" s="809"/>
      <c r="BJ10" s="809"/>
      <c r="BK10" s="809"/>
      <c r="BL10" s="809"/>
      <c r="BM10" s="809"/>
      <c r="BN10" s="809"/>
      <c r="BO10" s="809"/>
      <c r="BP10" s="809"/>
      <c r="BQ10" s="809"/>
      <c r="BR10" s="809"/>
      <c r="BS10" s="809"/>
      <c r="BT10" s="809"/>
      <c r="BU10" s="809"/>
      <c r="BV10" s="809"/>
      <c r="BW10" s="809"/>
      <c r="BX10" s="809"/>
      <c r="BY10" s="809"/>
      <c r="BZ10" s="809"/>
      <c r="CA10" s="809"/>
      <c r="CB10" s="809"/>
      <c r="CC10" s="809"/>
      <c r="CD10" s="809"/>
      <c r="CE10" s="809"/>
      <c r="CF10" s="809"/>
      <c r="CG10" s="809"/>
      <c r="CH10" s="809"/>
      <c r="CI10" s="809"/>
      <c r="CJ10" s="809"/>
      <c r="CK10" s="809"/>
      <c r="CL10" s="809"/>
      <c r="CM10" s="809"/>
      <c r="CN10" s="809"/>
      <c r="CO10" s="809"/>
      <c r="CP10" s="809"/>
      <c r="CQ10" s="809"/>
      <c r="CR10" s="809"/>
      <c r="CS10" s="809"/>
      <c r="CT10" s="809"/>
      <c r="CU10" s="809"/>
      <c r="CV10" s="809"/>
      <c r="CW10" s="809"/>
      <c r="CX10" s="809"/>
      <c r="CY10" s="809"/>
      <c r="CZ10" s="809"/>
      <c r="DA10" s="809"/>
      <c r="DB10" s="809"/>
      <c r="DC10" s="809"/>
      <c r="DD10" s="809"/>
      <c r="DE10" s="809"/>
      <c r="DF10" s="809"/>
      <c r="DG10" s="809"/>
      <c r="DH10" s="809"/>
      <c r="DI10" s="809"/>
      <c r="DJ10" s="809"/>
      <c r="DK10" s="809"/>
      <c r="DL10" s="809"/>
      <c r="DM10" s="809"/>
      <c r="DN10" s="809"/>
      <c r="DO10" s="809"/>
      <c r="DP10" s="809"/>
      <c r="DQ10" s="809"/>
      <c r="DR10" s="809"/>
      <c r="DS10" s="809"/>
      <c r="DT10" s="809"/>
      <c r="DU10" s="809"/>
      <c r="DV10" s="809"/>
      <c r="DW10" s="809"/>
      <c r="DX10" s="809"/>
      <c r="DY10" s="809"/>
      <c r="DZ10" s="809"/>
      <c r="EA10" s="809"/>
      <c r="EB10" s="809"/>
      <c r="EC10" s="809"/>
      <c r="ED10" s="809"/>
      <c r="EE10" s="809"/>
      <c r="EF10" s="809"/>
      <c r="EG10" s="809"/>
      <c r="EH10" s="809"/>
      <c r="EI10" s="809"/>
      <c r="EJ10" s="809"/>
      <c r="EK10" s="809"/>
      <c r="EL10" s="809"/>
      <c r="EM10" s="809"/>
      <c r="EN10" s="809"/>
      <c r="EO10" s="809"/>
      <c r="EP10" s="809"/>
      <c r="EQ10" s="809"/>
      <c r="ER10" s="809"/>
      <c r="ES10" s="809"/>
      <c r="ET10" s="809"/>
      <c r="EU10" s="809"/>
      <c r="EV10" s="809"/>
      <c r="EW10" s="809"/>
      <c r="EX10" s="809"/>
      <c r="EY10" s="809"/>
      <c r="EZ10" s="809"/>
      <c r="FA10" s="809"/>
      <c r="FB10" s="809"/>
      <c r="FC10" s="809"/>
      <c r="FD10" s="809"/>
      <c r="FE10" s="809"/>
      <c r="FF10" s="809"/>
      <c r="FG10" s="809"/>
      <c r="FH10" s="809"/>
      <c r="FI10" s="809"/>
      <c r="FJ10" s="809"/>
      <c r="FK10" s="809"/>
      <c r="FL10" s="809"/>
      <c r="FM10" s="809"/>
      <c r="FN10" s="809"/>
      <c r="FO10" s="809"/>
      <c r="FP10" s="809"/>
      <c r="FQ10" s="809"/>
      <c r="FR10" s="809"/>
      <c r="FS10" s="809"/>
      <c r="FT10" s="809"/>
      <c r="FU10" s="809"/>
      <c r="FV10" s="809"/>
      <c r="FW10" s="809"/>
      <c r="FX10" s="809"/>
      <c r="FY10" s="809"/>
      <c r="FZ10" s="809"/>
      <c r="GA10" s="809"/>
      <c r="GB10" s="809"/>
      <c r="GC10" s="809"/>
      <c r="GD10" s="809"/>
      <c r="GE10" s="809"/>
      <c r="GF10" s="809"/>
      <c r="GG10" s="809"/>
      <c r="GH10" s="809"/>
      <c r="GI10" s="809"/>
      <c r="GJ10" s="809"/>
      <c r="GK10" s="809"/>
      <c r="GL10" s="809"/>
      <c r="GM10" s="809"/>
      <c r="GN10" s="809"/>
      <c r="GO10" s="809"/>
      <c r="GP10" s="809"/>
      <c r="GQ10" s="809"/>
      <c r="GR10" s="809"/>
      <c r="GS10" s="809"/>
      <c r="GT10" s="809"/>
      <c r="GU10" s="809"/>
      <c r="GV10" s="809"/>
      <c r="GW10" s="809"/>
      <c r="GX10" s="809"/>
      <c r="GY10" s="809"/>
      <c r="GZ10" s="809"/>
      <c r="HA10" s="809"/>
      <c r="HB10" s="809"/>
      <c r="HC10" s="809"/>
      <c r="HD10" s="809"/>
      <c r="HE10" s="809"/>
      <c r="HF10" s="809"/>
      <c r="HG10" s="809"/>
      <c r="HH10" s="809"/>
      <c r="HI10" s="809"/>
      <c r="HJ10" s="809"/>
      <c r="HK10" s="809"/>
      <c r="HL10" s="809"/>
      <c r="HM10" s="809"/>
      <c r="HN10" s="809"/>
      <c r="HO10" s="809"/>
      <c r="HP10" s="809"/>
      <c r="HQ10" s="809"/>
      <c r="HR10" s="809"/>
      <c r="HS10" s="809"/>
      <c r="HT10" s="809"/>
      <c r="HU10" s="809"/>
      <c r="HV10" s="809"/>
      <c r="HW10" s="809"/>
      <c r="HX10" s="809"/>
      <c r="HY10" s="809"/>
      <c r="HZ10" s="809"/>
      <c r="IA10" s="809"/>
      <c r="IB10" s="809"/>
      <c r="IC10" s="809"/>
      <c r="ID10" s="809"/>
      <c r="IE10" s="809"/>
      <c r="IF10" s="809"/>
      <c r="IG10" s="809"/>
      <c r="IH10" s="809"/>
      <c r="II10" s="809"/>
      <c r="IJ10" s="809"/>
      <c r="IK10" s="809"/>
      <c r="IL10" s="809"/>
      <c r="IM10" s="809"/>
      <c r="IN10" s="809"/>
      <c r="IO10" s="809"/>
      <c r="IP10" s="809"/>
      <c r="IQ10" s="809"/>
      <c r="IR10" s="809"/>
      <c r="IS10" s="809"/>
      <c r="IT10" s="809"/>
      <c r="IU10" s="809"/>
      <c r="IV10" s="809"/>
    </row>
    <row r="11" spans="1:256" ht="15" customHeight="1">
      <c r="A11" s="246" t="s">
        <v>36</v>
      </c>
      <c r="B11" s="245"/>
      <c r="C11" s="245"/>
      <c r="D11" s="245"/>
      <c r="E11" s="809"/>
      <c r="F11" s="809"/>
      <c r="G11" s="809"/>
      <c r="H11" s="809"/>
      <c r="I11" s="809"/>
      <c r="J11" s="809"/>
      <c r="K11" s="809"/>
      <c r="L11" s="809"/>
      <c r="M11" s="809"/>
      <c r="N11" s="809"/>
      <c r="O11" s="809"/>
      <c r="P11" s="809"/>
      <c r="Q11" s="809"/>
      <c r="R11" s="809"/>
      <c r="S11" s="809"/>
      <c r="T11" s="809"/>
      <c r="U11" s="809"/>
      <c r="V11" s="809"/>
      <c r="W11" s="809"/>
      <c r="X11" s="809"/>
      <c r="Y11" s="809"/>
      <c r="Z11" s="809"/>
      <c r="AA11" s="809"/>
      <c r="AB11" s="809"/>
      <c r="AC11" s="809"/>
      <c r="AD11" s="809"/>
      <c r="AE11" s="809"/>
      <c r="AF11" s="809"/>
      <c r="AG11" s="809"/>
      <c r="AH11" s="809"/>
      <c r="AI11" s="809"/>
      <c r="AJ11" s="809"/>
      <c r="AK11" s="809"/>
      <c r="AL11" s="809"/>
      <c r="AM11" s="809"/>
      <c r="AN11" s="809"/>
      <c r="AO11" s="809"/>
      <c r="AP11" s="809"/>
      <c r="AQ11" s="809"/>
      <c r="AR11" s="809"/>
      <c r="AS11" s="809"/>
      <c r="AT11" s="809"/>
      <c r="AU11" s="809"/>
      <c r="AV11" s="809"/>
      <c r="AW11" s="809"/>
      <c r="AX11" s="809"/>
      <c r="AY11" s="809"/>
      <c r="AZ11" s="809"/>
      <c r="BA11" s="809"/>
      <c r="BB11" s="809"/>
      <c r="BC11" s="809"/>
      <c r="BD11" s="809"/>
      <c r="BE11" s="809"/>
      <c r="BF11" s="809"/>
      <c r="BG11" s="809"/>
      <c r="BH11" s="809"/>
      <c r="BI11" s="809"/>
      <c r="BJ11" s="809"/>
      <c r="BK11" s="809"/>
      <c r="BL11" s="809"/>
      <c r="BM11" s="809"/>
      <c r="BN11" s="809"/>
      <c r="BO11" s="809"/>
      <c r="BP11" s="809"/>
      <c r="BQ11" s="809"/>
      <c r="BR11" s="809"/>
      <c r="BS11" s="809"/>
      <c r="BT11" s="809"/>
      <c r="BU11" s="809"/>
      <c r="BV11" s="809"/>
      <c r="BW11" s="809"/>
      <c r="BX11" s="809"/>
      <c r="BY11" s="809"/>
      <c r="BZ11" s="809"/>
      <c r="CA11" s="809"/>
      <c r="CB11" s="809"/>
      <c r="CC11" s="809"/>
      <c r="CD11" s="809"/>
      <c r="CE11" s="809"/>
      <c r="CF11" s="809"/>
      <c r="CG11" s="809"/>
      <c r="CH11" s="809"/>
      <c r="CI11" s="809"/>
      <c r="CJ11" s="809"/>
      <c r="CK11" s="809"/>
      <c r="CL11" s="809"/>
      <c r="CM11" s="809"/>
      <c r="CN11" s="809"/>
      <c r="CO11" s="809"/>
      <c r="CP11" s="809"/>
      <c r="CQ11" s="809"/>
      <c r="CR11" s="809"/>
      <c r="CS11" s="809"/>
      <c r="CT11" s="809"/>
      <c r="CU11" s="809"/>
      <c r="CV11" s="809"/>
      <c r="CW11" s="809"/>
      <c r="CX11" s="809"/>
      <c r="CY11" s="809"/>
      <c r="CZ11" s="809"/>
      <c r="DA11" s="809"/>
      <c r="DB11" s="809"/>
      <c r="DC11" s="809"/>
      <c r="DD11" s="809"/>
      <c r="DE11" s="809"/>
      <c r="DF11" s="809"/>
      <c r="DG11" s="809"/>
      <c r="DH11" s="809"/>
      <c r="DI11" s="809"/>
      <c r="DJ11" s="809"/>
      <c r="DK11" s="809"/>
      <c r="DL11" s="809"/>
      <c r="DM11" s="809"/>
      <c r="DN11" s="809"/>
      <c r="DO11" s="809"/>
      <c r="DP11" s="809"/>
      <c r="DQ11" s="809"/>
      <c r="DR11" s="809"/>
      <c r="DS11" s="809"/>
      <c r="DT11" s="809"/>
      <c r="DU11" s="809"/>
      <c r="DV11" s="809"/>
      <c r="DW11" s="809"/>
      <c r="DX11" s="809"/>
      <c r="DY11" s="809"/>
      <c r="DZ11" s="809"/>
      <c r="EA11" s="809"/>
      <c r="EB11" s="809"/>
      <c r="EC11" s="809"/>
      <c r="ED11" s="809"/>
      <c r="EE11" s="809"/>
      <c r="EF11" s="809"/>
      <c r="EG11" s="809"/>
      <c r="EH11" s="809"/>
      <c r="EI11" s="809"/>
      <c r="EJ11" s="809"/>
      <c r="EK11" s="809"/>
      <c r="EL11" s="809"/>
      <c r="EM11" s="809"/>
      <c r="EN11" s="809"/>
      <c r="EO11" s="809"/>
      <c r="EP11" s="809"/>
      <c r="EQ11" s="809"/>
      <c r="ER11" s="809"/>
      <c r="ES11" s="809"/>
      <c r="ET11" s="809"/>
      <c r="EU11" s="809"/>
      <c r="EV11" s="809"/>
      <c r="EW11" s="809"/>
      <c r="EX11" s="809"/>
      <c r="EY11" s="809"/>
      <c r="EZ11" s="809"/>
      <c r="FA11" s="809"/>
      <c r="FB11" s="809"/>
      <c r="FC11" s="809"/>
      <c r="FD11" s="809"/>
      <c r="FE11" s="809"/>
      <c r="FF11" s="809"/>
      <c r="FG11" s="809"/>
      <c r="FH11" s="809"/>
      <c r="FI11" s="809"/>
      <c r="FJ11" s="809"/>
      <c r="FK11" s="809"/>
      <c r="FL11" s="809"/>
      <c r="FM11" s="809"/>
      <c r="FN11" s="809"/>
      <c r="FO11" s="809"/>
      <c r="FP11" s="809"/>
      <c r="FQ11" s="809"/>
      <c r="FR11" s="809"/>
      <c r="FS11" s="809"/>
      <c r="FT11" s="809"/>
      <c r="FU11" s="809"/>
      <c r="FV11" s="809"/>
      <c r="FW11" s="809"/>
      <c r="FX11" s="809"/>
      <c r="FY11" s="809"/>
      <c r="FZ11" s="809"/>
      <c r="GA11" s="809"/>
      <c r="GB11" s="809"/>
      <c r="GC11" s="809"/>
      <c r="GD11" s="809"/>
      <c r="GE11" s="809"/>
      <c r="GF11" s="809"/>
      <c r="GG11" s="809"/>
      <c r="GH11" s="809"/>
      <c r="GI11" s="809"/>
      <c r="GJ11" s="809"/>
      <c r="GK11" s="809"/>
      <c r="GL11" s="809"/>
      <c r="GM11" s="809"/>
      <c r="GN11" s="809"/>
      <c r="GO11" s="809"/>
      <c r="GP11" s="809"/>
      <c r="GQ11" s="809"/>
      <c r="GR11" s="809"/>
      <c r="GS11" s="809"/>
      <c r="GT11" s="809"/>
      <c r="GU11" s="809"/>
      <c r="GV11" s="809"/>
      <c r="GW11" s="809"/>
      <c r="GX11" s="809"/>
      <c r="GY11" s="809"/>
      <c r="GZ11" s="809"/>
      <c r="HA11" s="809"/>
      <c r="HB11" s="809"/>
      <c r="HC11" s="809"/>
      <c r="HD11" s="809"/>
      <c r="HE11" s="809"/>
      <c r="HF11" s="809"/>
      <c r="HG11" s="809"/>
      <c r="HH11" s="809"/>
      <c r="HI11" s="809"/>
      <c r="HJ11" s="809"/>
      <c r="HK11" s="809"/>
      <c r="HL11" s="809"/>
      <c r="HM11" s="809"/>
      <c r="HN11" s="809"/>
      <c r="HO11" s="809"/>
      <c r="HP11" s="809"/>
      <c r="HQ11" s="809"/>
      <c r="HR11" s="809"/>
      <c r="HS11" s="809"/>
      <c r="HT11" s="809"/>
      <c r="HU11" s="809"/>
      <c r="HV11" s="809"/>
      <c r="HW11" s="809"/>
      <c r="HX11" s="809"/>
      <c r="HY11" s="809"/>
      <c r="HZ11" s="809"/>
      <c r="IA11" s="809"/>
      <c r="IB11" s="809"/>
      <c r="IC11" s="809"/>
      <c r="ID11" s="809"/>
      <c r="IE11" s="809"/>
      <c r="IF11" s="809"/>
      <c r="IG11" s="809"/>
      <c r="IH11" s="809"/>
      <c r="II11" s="809"/>
      <c r="IJ11" s="809"/>
      <c r="IK11" s="809"/>
      <c r="IL11" s="809"/>
      <c r="IM11" s="809"/>
      <c r="IN11" s="809"/>
      <c r="IO11" s="809"/>
      <c r="IP11" s="809"/>
      <c r="IQ11" s="809"/>
      <c r="IR11" s="809"/>
      <c r="IS11" s="809"/>
      <c r="IT11" s="809"/>
      <c r="IU11" s="809"/>
      <c r="IV11" s="809"/>
    </row>
    <row r="12" spans="1:256" ht="15" customHeight="1">
      <c r="A12" s="245" t="s">
        <v>328</v>
      </c>
      <c r="B12" s="245"/>
      <c r="C12" s="245"/>
      <c r="D12" s="245"/>
      <c r="E12" s="809"/>
      <c r="F12" s="809"/>
      <c r="G12" s="809"/>
      <c r="H12" s="809"/>
      <c r="I12" s="809"/>
      <c r="J12" s="809"/>
      <c r="K12" s="809"/>
      <c r="L12" s="809"/>
      <c r="M12" s="809"/>
      <c r="N12" s="809"/>
      <c r="O12" s="809"/>
      <c r="P12" s="809"/>
      <c r="Q12" s="809"/>
      <c r="R12" s="809"/>
      <c r="S12" s="809"/>
      <c r="T12" s="809"/>
      <c r="U12" s="809"/>
      <c r="V12" s="809"/>
      <c r="W12" s="809"/>
      <c r="X12" s="809"/>
      <c r="Y12" s="809"/>
      <c r="Z12" s="809"/>
      <c r="AA12" s="809"/>
      <c r="AB12" s="809"/>
      <c r="AC12" s="809"/>
      <c r="AD12" s="809"/>
      <c r="AE12" s="809"/>
      <c r="AF12" s="809"/>
      <c r="AG12" s="809"/>
      <c r="AH12" s="809"/>
      <c r="AI12" s="809"/>
      <c r="AJ12" s="809"/>
      <c r="AK12" s="809"/>
      <c r="AL12" s="809"/>
      <c r="AM12" s="809"/>
      <c r="AN12" s="809"/>
      <c r="AO12" s="809"/>
      <c r="AP12" s="809"/>
      <c r="AQ12" s="809"/>
      <c r="AR12" s="809"/>
      <c r="AS12" s="809"/>
      <c r="AT12" s="809"/>
      <c r="AU12" s="809"/>
      <c r="AV12" s="809"/>
      <c r="AW12" s="809"/>
      <c r="AX12" s="809"/>
      <c r="AY12" s="809"/>
      <c r="AZ12" s="809"/>
      <c r="BA12" s="809"/>
      <c r="BB12" s="809"/>
      <c r="BC12" s="809"/>
      <c r="BD12" s="809"/>
      <c r="BE12" s="809"/>
      <c r="BF12" s="809"/>
      <c r="BG12" s="809"/>
      <c r="BH12" s="809"/>
      <c r="BI12" s="809"/>
      <c r="BJ12" s="809"/>
      <c r="BK12" s="809"/>
      <c r="BL12" s="809"/>
      <c r="BM12" s="809"/>
      <c r="BN12" s="809"/>
      <c r="BO12" s="809"/>
      <c r="BP12" s="809"/>
      <c r="BQ12" s="809"/>
      <c r="BR12" s="809"/>
      <c r="BS12" s="809"/>
      <c r="BT12" s="809"/>
      <c r="BU12" s="809"/>
      <c r="BV12" s="809"/>
      <c r="BW12" s="809"/>
      <c r="BX12" s="809"/>
      <c r="BY12" s="809"/>
      <c r="BZ12" s="809"/>
      <c r="CA12" s="809"/>
      <c r="CB12" s="809"/>
      <c r="CC12" s="809"/>
      <c r="CD12" s="809"/>
      <c r="CE12" s="809"/>
      <c r="CF12" s="809"/>
      <c r="CG12" s="809"/>
      <c r="CH12" s="809"/>
      <c r="CI12" s="809"/>
      <c r="CJ12" s="809"/>
      <c r="CK12" s="809"/>
      <c r="CL12" s="809"/>
      <c r="CM12" s="809"/>
      <c r="CN12" s="809"/>
      <c r="CO12" s="809"/>
      <c r="CP12" s="809"/>
      <c r="CQ12" s="809"/>
      <c r="CR12" s="809"/>
      <c r="CS12" s="809"/>
      <c r="CT12" s="809"/>
      <c r="CU12" s="809"/>
      <c r="CV12" s="809"/>
      <c r="CW12" s="809"/>
      <c r="CX12" s="809"/>
      <c r="CY12" s="809"/>
      <c r="CZ12" s="809"/>
      <c r="DA12" s="809"/>
      <c r="DB12" s="809"/>
      <c r="DC12" s="809"/>
      <c r="DD12" s="809"/>
      <c r="DE12" s="809"/>
      <c r="DF12" s="809"/>
      <c r="DG12" s="809"/>
      <c r="DH12" s="809"/>
      <c r="DI12" s="809"/>
      <c r="DJ12" s="809"/>
      <c r="DK12" s="809"/>
      <c r="DL12" s="809"/>
      <c r="DM12" s="809"/>
      <c r="DN12" s="809"/>
      <c r="DO12" s="809"/>
      <c r="DP12" s="809"/>
      <c r="DQ12" s="809"/>
      <c r="DR12" s="809"/>
      <c r="DS12" s="809"/>
      <c r="DT12" s="809"/>
      <c r="DU12" s="809"/>
      <c r="DV12" s="809"/>
      <c r="DW12" s="809"/>
      <c r="DX12" s="809"/>
      <c r="DY12" s="809"/>
      <c r="DZ12" s="809"/>
      <c r="EA12" s="809"/>
      <c r="EB12" s="809"/>
      <c r="EC12" s="809"/>
      <c r="ED12" s="809"/>
      <c r="EE12" s="809"/>
      <c r="EF12" s="809"/>
      <c r="EG12" s="809"/>
      <c r="EH12" s="809"/>
      <c r="EI12" s="809"/>
      <c r="EJ12" s="809"/>
      <c r="EK12" s="809"/>
      <c r="EL12" s="809"/>
      <c r="EM12" s="809"/>
      <c r="EN12" s="809"/>
      <c r="EO12" s="809"/>
      <c r="EP12" s="809"/>
      <c r="EQ12" s="809"/>
      <c r="ER12" s="809"/>
      <c r="ES12" s="809"/>
      <c r="ET12" s="809"/>
      <c r="EU12" s="809"/>
      <c r="EV12" s="809"/>
      <c r="EW12" s="809"/>
      <c r="EX12" s="809"/>
      <c r="EY12" s="809"/>
      <c r="EZ12" s="809"/>
      <c r="FA12" s="809"/>
      <c r="FB12" s="809"/>
      <c r="FC12" s="809"/>
      <c r="FD12" s="809"/>
      <c r="FE12" s="809"/>
      <c r="FF12" s="809"/>
      <c r="FG12" s="809"/>
      <c r="FH12" s="809"/>
      <c r="FI12" s="809"/>
      <c r="FJ12" s="809"/>
      <c r="FK12" s="809"/>
      <c r="FL12" s="809"/>
      <c r="FM12" s="809"/>
      <c r="FN12" s="809"/>
      <c r="FO12" s="809"/>
      <c r="FP12" s="809"/>
      <c r="FQ12" s="809"/>
      <c r="FR12" s="809"/>
      <c r="FS12" s="809"/>
      <c r="FT12" s="809"/>
      <c r="FU12" s="809"/>
      <c r="FV12" s="809"/>
      <c r="FW12" s="809"/>
      <c r="FX12" s="809"/>
      <c r="FY12" s="809"/>
      <c r="FZ12" s="809"/>
      <c r="GA12" s="809"/>
      <c r="GB12" s="809"/>
      <c r="GC12" s="809"/>
      <c r="GD12" s="809"/>
      <c r="GE12" s="809"/>
      <c r="GF12" s="809"/>
      <c r="GG12" s="809"/>
      <c r="GH12" s="809"/>
      <c r="GI12" s="809"/>
      <c r="GJ12" s="809"/>
      <c r="GK12" s="809"/>
      <c r="GL12" s="809"/>
      <c r="GM12" s="809"/>
      <c r="GN12" s="809"/>
      <c r="GO12" s="809"/>
      <c r="GP12" s="809"/>
      <c r="GQ12" s="809"/>
      <c r="GR12" s="809"/>
      <c r="GS12" s="809"/>
      <c r="GT12" s="809"/>
      <c r="GU12" s="809"/>
      <c r="GV12" s="809"/>
      <c r="GW12" s="809"/>
      <c r="GX12" s="809"/>
      <c r="GY12" s="809"/>
      <c r="GZ12" s="809"/>
      <c r="HA12" s="809"/>
      <c r="HB12" s="809"/>
      <c r="HC12" s="809"/>
      <c r="HD12" s="809"/>
      <c r="HE12" s="809"/>
      <c r="HF12" s="809"/>
      <c r="HG12" s="809"/>
      <c r="HH12" s="809"/>
      <c r="HI12" s="809"/>
      <c r="HJ12" s="809"/>
      <c r="HK12" s="809"/>
      <c r="HL12" s="809"/>
      <c r="HM12" s="809"/>
      <c r="HN12" s="809"/>
      <c r="HO12" s="809"/>
      <c r="HP12" s="809"/>
      <c r="HQ12" s="809"/>
      <c r="HR12" s="809"/>
      <c r="HS12" s="809"/>
      <c r="HT12" s="809"/>
      <c r="HU12" s="809"/>
      <c r="HV12" s="809"/>
      <c r="HW12" s="809"/>
      <c r="HX12" s="809"/>
      <c r="HY12" s="809"/>
      <c r="HZ12" s="809"/>
      <c r="IA12" s="809"/>
      <c r="IB12" s="809"/>
      <c r="IC12" s="809"/>
      <c r="ID12" s="809"/>
      <c r="IE12" s="809"/>
      <c r="IF12" s="809"/>
      <c r="IG12" s="809"/>
      <c r="IH12" s="809"/>
      <c r="II12" s="809"/>
      <c r="IJ12" s="809"/>
      <c r="IK12" s="809"/>
      <c r="IL12" s="809"/>
      <c r="IM12" s="809"/>
      <c r="IN12" s="809"/>
      <c r="IO12" s="809"/>
      <c r="IP12" s="809"/>
      <c r="IQ12" s="809"/>
      <c r="IR12" s="809"/>
      <c r="IS12" s="809"/>
      <c r="IT12" s="809"/>
      <c r="IU12" s="809"/>
      <c r="IV12" s="809"/>
    </row>
    <row r="13" spans="1:256" ht="15" customHeight="1">
      <c r="A13" s="246" t="s">
        <v>161</v>
      </c>
      <c r="B13" s="247">
        <f>B12</f>
        <v>0</v>
      </c>
      <c r="C13" s="247">
        <f>C12</f>
        <v>0</v>
      </c>
      <c r="D13" s="245"/>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244"/>
      <c r="BK13" s="244"/>
      <c r="BL13" s="244"/>
      <c r="BM13" s="244"/>
      <c r="BN13" s="244"/>
      <c r="BO13" s="244"/>
      <c r="BP13" s="244"/>
      <c r="BQ13" s="244"/>
      <c r="BR13" s="244"/>
      <c r="BS13" s="244"/>
      <c r="BT13" s="244"/>
      <c r="BU13" s="244"/>
      <c r="BV13" s="244"/>
      <c r="BW13" s="244"/>
      <c r="BX13" s="244"/>
      <c r="BY13" s="244"/>
      <c r="BZ13" s="244"/>
      <c r="CA13" s="244"/>
      <c r="CB13" s="244"/>
      <c r="CC13" s="244"/>
      <c r="CD13" s="244"/>
      <c r="CE13" s="244"/>
      <c r="CF13" s="244"/>
      <c r="CG13" s="244"/>
      <c r="CH13" s="244"/>
      <c r="CI13" s="244"/>
      <c r="CJ13" s="244"/>
      <c r="CK13" s="244"/>
      <c r="CL13" s="244"/>
      <c r="CM13" s="244"/>
      <c r="CN13" s="244"/>
      <c r="CO13" s="244"/>
      <c r="CP13" s="244"/>
      <c r="CQ13" s="244"/>
      <c r="CR13" s="244"/>
      <c r="CS13" s="244"/>
      <c r="CT13" s="244"/>
      <c r="CU13" s="244"/>
      <c r="CV13" s="244"/>
      <c r="CW13" s="244"/>
      <c r="CX13" s="244"/>
      <c r="CY13" s="244"/>
      <c r="CZ13" s="244"/>
      <c r="DA13" s="244"/>
      <c r="DB13" s="244"/>
      <c r="DC13" s="244"/>
      <c r="DD13" s="244"/>
      <c r="DE13" s="244"/>
      <c r="DF13" s="244"/>
      <c r="DG13" s="244"/>
      <c r="DH13" s="244"/>
      <c r="DI13" s="244"/>
      <c r="DJ13" s="244"/>
      <c r="DK13" s="244"/>
      <c r="DL13" s="244"/>
      <c r="DM13" s="244"/>
      <c r="DN13" s="244"/>
      <c r="DO13" s="244"/>
      <c r="DP13" s="244"/>
      <c r="DQ13" s="244"/>
      <c r="DR13" s="244"/>
      <c r="DS13" s="244"/>
      <c r="DT13" s="244"/>
      <c r="DU13" s="244"/>
      <c r="DV13" s="244"/>
      <c r="DW13" s="244"/>
      <c r="DX13" s="244"/>
      <c r="DY13" s="244"/>
      <c r="DZ13" s="244"/>
      <c r="EA13" s="244"/>
      <c r="EB13" s="244"/>
      <c r="EC13" s="244"/>
      <c r="ED13" s="244"/>
      <c r="EE13" s="244"/>
      <c r="EF13" s="244"/>
      <c r="EG13" s="244"/>
      <c r="EH13" s="244"/>
      <c r="EI13" s="244"/>
      <c r="EJ13" s="244"/>
      <c r="EK13" s="244"/>
      <c r="EL13" s="244"/>
      <c r="EM13" s="244"/>
      <c r="EN13" s="244"/>
      <c r="EO13" s="244"/>
      <c r="EP13" s="244"/>
      <c r="EQ13" s="244"/>
      <c r="ER13" s="244"/>
      <c r="ES13" s="244"/>
      <c r="ET13" s="244"/>
      <c r="EU13" s="244"/>
      <c r="EV13" s="244"/>
      <c r="EW13" s="244"/>
      <c r="EX13" s="244"/>
      <c r="EY13" s="244"/>
      <c r="EZ13" s="244"/>
      <c r="FA13" s="244"/>
      <c r="FB13" s="244"/>
      <c r="FC13" s="244"/>
      <c r="FD13" s="244"/>
      <c r="FE13" s="244"/>
      <c r="FF13" s="244"/>
      <c r="FG13" s="244"/>
      <c r="FH13" s="244"/>
      <c r="FI13" s="244"/>
      <c r="FJ13" s="244"/>
      <c r="FK13" s="244"/>
      <c r="FL13" s="244"/>
      <c r="FM13" s="244"/>
      <c r="FN13" s="244"/>
      <c r="FO13" s="244"/>
      <c r="FP13" s="244"/>
      <c r="FQ13" s="244"/>
      <c r="FR13" s="244"/>
      <c r="FS13" s="244"/>
      <c r="FT13" s="244"/>
      <c r="FU13" s="244"/>
      <c r="FV13" s="244"/>
      <c r="FW13" s="244"/>
      <c r="FX13" s="244"/>
      <c r="FY13" s="244"/>
      <c r="FZ13" s="244"/>
      <c r="GA13" s="244"/>
      <c r="GB13" s="244"/>
      <c r="GC13" s="244"/>
      <c r="GD13" s="244"/>
      <c r="GE13" s="244"/>
      <c r="GF13" s="244"/>
      <c r="GG13" s="244"/>
      <c r="GH13" s="244"/>
      <c r="GI13" s="244"/>
      <c r="GJ13" s="244"/>
      <c r="GK13" s="244"/>
      <c r="GL13" s="244"/>
      <c r="GM13" s="244"/>
      <c r="GN13" s="244"/>
      <c r="GO13" s="244"/>
      <c r="GP13" s="244"/>
      <c r="GQ13" s="244"/>
      <c r="GR13" s="244"/>
      <c r="GS13" s="244"/>
      <c r="GT13" s="244"/>
      <c r="GU13" s="244"/>
      <c r="GV13" s="244"/>
      <c r="GW13" s="244"/>
      <c r="GX13" s="244"/>
      <c r="GY13" s="244"/>
      <c r="GZ13" s="244"/>
      <c r="HA13" s="244"/>
      <c r="HB13" s="244"/>
      <c r="HC13" s="244"/>
      <c r="HD13" s="244"/>
      <c r="HE13" s="244"/>
      <c r="HF13" s="244"/>
      <c r="HG13" s="244"/>
      <c r="HH13" s="244"/>
      <c r="HI13" s="244"/>
      <c r="HJ13" s="244"/>
      <c r="HK13" s="244"/>
      <c r="HL13" s="244"/>
      <c r="HM13" s="244"/>
      <c r="HN13" s="244"/>
      <c r="HO13" s="244"/>
      <c r="HP13" s="244"/>
      <c r="HQ13" s="244"/>
      <c r="HR13" s="244"/>
      <c r="HS13" s="244"/>
      <c r="HT13" s="244"/>
      <c r="HU13" s="244"/>
      <c r="HV13" s="244"/>
      <c r="HW13" s="244"/>
      <c r="HX13" s="244"/>
      <c r="HY13" s="244"/>
      <c r="HZ13" s="244"/>
      <c r="IA13" s="244"/>
      <c r="IB13" s="244"/>
      <c r="IC13" s="244"/>
      <c r="ID13" s="244"/>
      <c r="IE13" s="244"/>
      <c r="IF13" s="244"/>
      <c r="IG13" s="244"/>
      <c r="IH13" s="244"/>
      <c r="II13" s="244"/>
      <c r="IJ13" s="244"/>
      <c r="IK13" s="244"/>
      <c r="IL13" s="244"/>
      <c r="IM13" s="244"/>
      <c r="IN13" s="244"/>
      <c r="IO13" s="244"/>
      <c r="IP13" s="244"/>
      <c r="IQ13" s="244"/>
      <c r="IR13" s="244"/>
      <c r="IS13" s="244"/>
      <c r="IT13" s="244"/>
      <c r="IU13" s="244"/>
      <c r="IV13" s="244"/>
    </row>
    <row r="14" spans="1:256" ht="15" customHeight="1"/>
    <row r="15" spans="1:256" ht="15" customHeight="1">
      <c r="A15" s="88" t="s">
        <v>329</v>
      </c>
    </row>
    <row r="16" spans="1:256" ht="15" customHeight="1">
      <c r="A16" s="242" t="s">
        <v>330</v>
      </c>
      <c r="B16" s="242"/>
      <c r="C16" s="242"/>
      <c r="D16" s="242"/>
    </row>
    <row r="17" spans="1:3" ht="15" customHeight="1">
      <c r="A17" s="246" t="s">
        <v>161</v>
      </c>
      <c r="B17" s="248">
        <f>B16</f>
        <v>0</v>
      </c>
      <c r="C17" s="248">
        <f>C16</f>
        <v>0</v>
      </c>
    </row>
    <row r="18" spans="1:3" ht="15" customHeight="1"/>
    <row r="19" spans="1:3" ht="15" customHeight="1">
      <c r="A19" s="88" t="s">
        <v>331</v>
      </c>
      <c r="B19" s="248">
        <f>B9+B13+B17</f>
        <v>0</v>
      </c>
      <c r="C19" s="248">
        <f>C9+C13+C17</f>
        <v>0</v>
      </c>
    </row>
    <row r="20" spans="1:3" ht="15" customHeight="1"/>
    <row r="21" spans="1:3" ht="15" customHeight="1"/>
  </sheetData>
  <mergeCells count="211">
    <mergeCell ref="E4:J4"/>
    <mergeCell ref="K4:P4"/>
    <mergeCell ref="Q4:V4"/>
    <mergeCell ref="W4:AB4"/>
    <mergeCell ref="AC4:AH4"/>
    <mergeCell ref="AI4:AN4"/>
    <mergeCell ref="AO4:AT4"/>
    <mergeCell ref="AU4:AZ4"/>
    <mergeCell ref="BA4:BF4"/>
    <mergeCell ref="BG4:BL4"/>
    <mergeCell ref="BM4:BR4"/>
    <mergeCell ref="BS4:BX4"/>
    <mergeCell ref="BY4:CD4"/>
    <mergeCell ref="CE4:CJ4"/>
    <mergeCell ref="CK4:CP4"/>
    <mergeCell ref="CQ4:CV4"/>
    <mergeCell ref="CW4:DB4"/>
    <mergeCell ref="DC4:DH4"/>
    <mergeCell ref="DI4:DN4"/>
    <mergeCell ref="DO4:DT4"/>
    <mergeCell ref="DU4:DZ4"/>
    <mergeCell ref="EA4:EF4"/>
    <mergeCell ref="EG4:EL4"/>
    <mergeCell ref="EM4:ER4"/>
    <mergeCell ref="ES4:EX4"/>
    <mergeCell ref="EY4:FD4"/>
    <mergeCell ref="FE4:FJ4"/>
    <mergeCell ref="FK4:FP4"/>
    <mergeCell ref="FQ4:FV4"/>
    <mergeCell ref="FW4:GB4"/>
    <mergeCell ref="GC4:GH4"/>
    <mergeCell ref="GI4:GN4"/>
    <mergeCell ref="GO4:GT4"/>
    <mergeCell ref="GU4:GZ4"/>
    <mergeCell ref="HA4:HF4"/>
    <mergeCell ref="HG4:HL4"/>
    <mergeCell ref="HM4:HR4"/>
    <mergeCell ref="HS4:HX4"/>
    <mergeCell ref="HY4:ID4"/>
    <mergeCell ref="IE4:IJ4"/>
    <mergeCell ref="IK4:IP4"/>
    <mergeCell ref="IQ4:IV4"/>
    <mergeCell ref="B5:C5"/>
    <mergeCell ref="E8:J8"/>
    <mergeCell ref="K8:P8"/>
    <mergeCell ref="Q8:V8"/>
    <mergeCell ref="W8:AB8"/>
    <mergeCell ref="AC8:AH8"/>
    <mergeCell ref="AI8:AN8"/>
    <mergeCell ref="AO8:AT8"/>
    <mergeCell ref="AU8:AZ8"/>
    <mergeCell ref="BA8:BF8"/>
    <mergeCell ref="BG8:BL8"/>
    <mergeCell ref="BM8:BR8"/>
    <mergeCell ref="BS8:BX8"/>
    <mergeCell ref="BY8:CD8"/>
    <mergeCell ref="CE8:CJ8"/>
    <mergeCell ref="CK8:CP8"/>
    <mergeCell ref="CQ8:CV8"/>
    <mergeCell ref="CW8:DB8"/>
    <mergeCell ref="FW8:GB8"/>
    <mergeCell ref="GC8:GH8"/>
    <mergeCell ref="GI8:GN8"/>
    <mergeCell ref="GO8:GT8"/>
    <mergeCell ref="GU8:GZ8"/>
    <mergeCell ref="HA8:HF8"/>
    <mergeCell ref="DC8:DH8"/>
    <mergeCell ref="DI8:DN8"/>
    <mergeCell ref="DO8:DT8"/>
    <mergeCell ref="DU8:DZ8"/>
    <mergeCell ref="EA8:EF8"/>
    <mergeCell ref="EG8:EL8"/>
    <mergeCell ref="EM8:ER8"/>
    <mergeCell ref="ES8:EX8"/>
    <mergeCell ref="EY8:FD8"/>
    <mergeCell ref="IQ8:IV8"/>
    <mergeCell ref="HG8:HL8"/>
    <mergeCell ref="HM8:HR8"/>
    <mergeCell ref="HS8:HX8"/>
    <mergeCell ref="HY8:ID8"/>
    <mergeCell ref="IE8:IJ8"/>
    <mergeCell ref="IK8:IP8"/>
    <mergeCell ref="BY10:CD10"/>
    <mergeCell ref="CE10:CJ10"/>
    <mergeCell ref="CK10:CP10"/>
    <mergeCell ref="CQ10:CV10"/>
    <mergeCell ref="CW10:DB10"/>
    <mergeCell ref="DC10:DH10"/>
    <mergeCell ref="DI10:DN10"/>
    <mergeCell ref="DO10:DT10"/>
    <mergeCell ref="DU10:DZ10"/>
    <mergeCell ref="EA10:EF10"/>
    <mergeCell ref="EG10:EL10"/>
    <mergeCell ref="EM10:ER10"/>
    <mergeCell ref="ES10:EX10"/>
    <mergeCell ref="EY10:FD10"/>
    <mergeCell ref="FE8:FJ8"/>
    <mergeCell ref="FK8:FP8"/>
    <mergeCell ref="FQ8:FV8"/>
    <mergeCell ref="E10:J10"/>
    <mergeCell ref="K10:P10"/>
    <mergeCell ref="Q10:V10"/>
    <mergeCell ref="W10:AB10"/>
    <mergeCell ref="AC10:AH10"/>
    <mergeCell ref="AI10:AN10"/>
    <mergeCell ref="BG10:BL10"/>
    <mergeCell ref="BM10:BR10"/>
    <mergeCell ref="BS10:BX10"/>
    <mergeCell ref="AO10:AT10"/>
    <mergeCell ref="AU10:AZ10"/>
    <mergeCell ref="BA10:BF10"/>
    <mergeCell ref="FE10:FJ10"/>
    <mergeCell ref="FK10:FP10"/>
    <mergeCell ref="FQ10:FV10"/>
    <mergeCell ref="FW10:GB10"/>
    <mergeCell ref="GC10:GH10"/>
    <mergeCell ref="GI10:GN10"/>
    <mergeCell ref="GO10:GT10"/>
    <mergeCell ref="AO11:AT11"/>
    <mergeCell ref="IE10:IJ10"/>
    <mergeCell ref="DC11:DH11"/>
    <mergeCell ref="DI11:DN11"/>
    <mergeCell ref="FW11:GB11"/>
    <mergeCell ref="GC11:GH11"/>
    <mergeCell ref="DO11:DT11"/>
    <mergeCell ref="DU11:DZ11"/>
    <mergeCell ref="EA11:EF11"/>
    <mergeCell ref="EG11:EL11"/>
    <mergeCell ref="EM11:ER11"/>
    <mergeCell ref="ES11:EX11"/>
    <mergeCell ref="HY11:ID11"/>
    <mergeCell ref="IE11:IJ11"/>
    <mergeCell ref="IK10:IP10"/>
    <mergeCell ref="IQ10:IV10"/>
    <mergeCell ref="GU10:GZ10"/>
    <mergeCell ref="HA10:HF10"/>
    <mergeCell ref="HG10:HL10"/>
    <mergeCell ref="HM10:HR10"/>
    <mergeCell ref="HS10:HX10"/>
    <mergeCell ref="HY10:ID10"/>
    <mergeCell ref="E11:J11"/>
    <mergeCell ref="K11:P11"/>
    <mergeCell ref="Q11:V11"/>
    <mergeCell ref="W11:AB11"/>
    <mergeCell ref="AC11:AH11"/>
    <mergeCell ref="AI11:AN11"/>
    <mergeCell ref="AU11:AZ11"/>
    <mergeCell ref="BA11:BF11"/>
    <mergeCell ref="BG11:BL11"/>
    <mergeCell ref="BM11:BR11"/>
    <mergeCell ref="BS11:BX11"/>
    <mergeCell ref="BY11:CD11"/>
    <mergeCell ref="CE11:CJ11"/>
    <mergeCell ref="CK11:CP11"/>
    <mergeCell ref="CQ11:CV11"/>
    <mergeCell ref="CW11:DB11"/>
    <mergeCell ref="IK11:IP11"/>
    <mergeCell ref="IQ11:IV11"/>
    <mergeCell ref="GI11:GN11"/>
    <mergeCell ref="GO11:GT11"/>
    <mergeCell ref="GU11:GZ11"/>
    <mergeCell ref="HA11:HF11"/>
    <mergeCell ref="HG11:HL11"/>
    <mergeCell ref="HM11:HR11"/>
    <mergeCell ref="E12:J12"/>
    <mergeCell ref="K12:P12"/>
    <mergeCell ref="Q12:V12"/>
    <mergeCell ref="W12:AB12"/>
    <mergeCell ref="AC12:AH12"/>
    <mergeCell ref="HS11:HX11"/>
    <mergeCell ref="EY11:FD11"/>
    <mergeCell ref="FE11:FJ11"/>
    <mergeCell ref="FK11:FP11"/>
    <mergeCell ref="FQ11:FV11"/>
    <mergeCell ref="AI12:AN12"/>
    <mergeCell ref="AO12:AT12"/>
    <mergeCell ref="AU12:AZ12"/>
    <mergeCell ref="BA12:BF12"/>
    <mergeCell ref="BG12:BL12"/>
    <mergeCell ref="BM12:BR12"/>
    <mergeCell ref="BS12:BX12"/>
    <mergeCell ref="BY12:CD12"/>
    <mergeCell ref="CE12:CJ12"/>
    <mergeCell ref="CK12:CP12"/>
    <mergeCell ref="CQ12:CV12"/>
    <mergeCell ref="CW12:DB12"/>
    <mergeCell ref="DC12:DH12"/>
    <mergeCell ref="DI12:DN12"/>
    <mergeCell ref="DO12:DT12"/>
    <mergeCell ref="DU12:DZ12"/>
    <mergeCell ref="EA12:EF12"/>
    <mergeCell ref="EG12:EL12"/>
    <mergeCell ref="EM12:ER12"/>
    <mergeCell ref="ES12:EX12"/>
    <mergeCell ref="EY12:FD12"/>
    <mergeCell ref="FE12:FJ12"/>
    <mergeCell ref="FK12:FP12"/>
    <mergeCell ref="FQ12:FV12"/>
    <mergeCell ref="FW12:GB12"/>
    <mergeCell ref="GC12:GH12"/>
    <mergeCell ref="GI12:GN12"/>
    <mergeCell ref="GO12:GT12"/>
    <mergeCell ref="GU12:GZ12"/>
    <mergeCell ref="HA12:HF12"/>
    <mergeCell ref="IQ12:IV12"/>
    <mergeCell ref="HG12:HL12"/>
    <mergeCell ref="HM12:HR12"/>
    <mergeCell ref="HS12:HX12"/>
    <mergeCell ref="HY12:ID12"/>
    <mergeCell ref="IE12:IJ12"/>
    <mergeCell ref="IK12:IP12"/>
  </mergeCells>
  <hyperlinks>
    <hyperlink ref="C1" location="BG!A1" display="BG" xr:uid="{00000000-0004-0000-1300-000000000000}"/>
  </hyperlinks>
  <pageMargins left="0.25" right="0.25" top="0.75" bottom="0.75" header="0.3" footer="0.3"/>
  <pageSetup paperSize="9"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499984740745262"/>
    <pageSetUpPr fitToPage="1"/>
  </sheetPr>
  <dimension ref="A1:S23"/>
  <sheetViews>
    <sheetView workbookViewId="0">
      <selection activeCell="B7" sqref="B7"/>
    </sheetView>
  </sheetViews>
  <sheetFormatPr baseColWidth="10" defaultRowHeight="15"/>
  <cols>
    <col min="1" max="1" width="26.7109375" style="133" customWidth="1"/>
    <col min="2" max="3" width="22.7109375" style="133" customWidth="1"/>
    <col min="4" max="19" width="11.5703125" style="133" customWidth="1"/>
  </cols>
  <sheetData>
    <row r="1" spans="1:6">
      <c r="F1" s="153" t="s">
        <v>18</v>
      </c>
    </row>
    <row r="4" spans="1:6">
      <c r="A4" s="794" t="s">
        <v>332</v>
      </c>
      <c r="B4" s="794"/>
      <c r="C4" s="794"/>
      <c r="D4" s="794"/>
    </row>
    <row r="5" spans="1:6">
      <c r="B5" s="819" t="s">
        <v>2085</v>
      </c>
      <c r="C5" s="819"/>
    </row>
    <row r="6" spans="1:6">
      <c r="A6" s="249" t="s">
        <v>36</v>
      </c>
      <c r="B6" s="211">
        <v>2024</v>
      </c>
      <c r="C6" s="211">
        <v>2023</v>
      </c>
      <c r="D6" s="250"/>
    </row>
    <row r="7" spans="1:6">
      <c r="A7" s="251" t="s">
        <v>972</v>
      </c>
      <c r="B7" s="368">
        <f>+'2024'!C181</f>
        <v>25648145</v>
      </c>
      <c r="C7" s="368">
        <v>25648145</v>
      </c>
      <c r="D7" s="251"/>
    </row>
    <row r="8" spans="1:6" ht="25.5">
      <c r="A8" s="252" t="s">
        <v>973</v>
      </c>
      <c r="B8" s="369">
        <f>+'2024'!C182</f>
        <v>-25648145</v>
      </c>
      <c r="C8" s="369">
        <v>-25648145</v>
      </c>
      <c r="D8" s="252"/>
    </row>
    <row r="9" spans="1:6">
      <c r="A9" s="252" t="s">
        <v>974</v>
      </c>
      <c r="B9" s="369">
        <f>+'2024'!C183</f>
        <v>166435338</v>
      </c>
      <c r="C9" s="369">
        <v>166435338</v>
      </c>
      <c r="D9" s="252"/>
    </row>
    <row r="10" spans="1:6">
      <c r="A10" s="252" t="s">
        <v>975</v>
      </c>
      <c r="B10" s="369">
        <f>+'2024'!C184</f>
        <v>-109416955</v>
      </c>
      <c r="C10" s="369">
        <v>-102119677</v>
      </c>
      <c r="D10" s="252"/>
    </row>
    <row r="11" spans="1:6">
      <c r="A11" s="252" t="s">
        <v>976</v>
      </c>
      <c r="B11" s="369">
        <f>+'2024'!C185</f>
        <v>33454548</v>
      </c>
      <c r="C11" s="369">
        <v>33454548</v>
      </c>
      <c r="D11" s="252"/>
    </row>
    <row r="12" spans="1:6" ht="25.5">
      <c r="A12" s="252" t="s">
        <v>977</v>
      </c>
      <c r="B12" s="369">
        <f>+'2024'!C186</f>
        <v>-33454545</v>
      </c>
      <c r="C12" s="369">
        <v>-33454545</v>
      </c>
      <c r="D12" s="252"/>
    </row>
    <row r="13" spans="1:6">
      <c r="A13" s="252" t="s">
        <v>1302</v>
      </c>
      <c r="B13" s="369">
        <f>+'2024'!C177</f>
        <v>710410591</v>
      </c>
      <c r="C13" s="369">
        <v>710410591</v>
      </c>
      <c r="D13" s="252"/>
    </row>
    <row r="14" spans="1:6" ht="25.5">
      <c r="A14" s="252" t="s">
        <v>1304</v>
      </c>
      <c r="B14" s="369">
        <f>+'2024'!C178</f>
        <v>-710410591</v>
      </c>
      <c r="C14" s="369">
        <v>-710410591</v>
      </c>
      <c r="D14" s="252"/>
    </row>
    <row r="15" spans="1:6">
      <c r="A15" s="253"/>
      <c r="D15" s="252"/>
      <c r="E15" s="251"/>
      <c r="F15" s="251"/>
    </row>
    <row r="16" spans="1:6">
      <c r="A16" s="223" t="s">
        <v>331</v>
      </c>
      <c r="B16" s="254">
        <f>SUM(B7:B15)</f>
        <v>57018386</v>
      </c>
      <c r="C16" s="254">
        <f>SUM(C7:C15)</f>
        <v>64315664</v>
      </c>
    </row>
    <row r="17" spans="1:6">
      <c r="A17" s="253"/>
      <c r="D17" s="252"/>
    </row>
    <row r="18" spans="1:6">
      <c r="A18" s="252"/>
      <c r="D18" s="252"/>
    </row>
    <row r="19" spans="1:6">
      <c r="A19" s="253"/>
      <c r="D19" s="252"/>
      <c r="E19" s="251"/>
      <c r="F19" s="251"/>
    </row>
    <row r="21" spans="1:6">
      <c r="A21" s="223"/>
    </row>
    <row r="22" spans="1:6">
      <c r="A22" s="250"/>
      <c r="D22" s="250"/>
    </row>
    <row r="23" spans="1:6">
      <c r="A23" s="253"/>
    </row>
  </sheetData>
  <mergeCells count="2">
    <mergeCell ref="A4:D4"/>
    <mergeCell ref="B5:C5"/>
  </mergeCells>
  <hyperlinks>
    <hyperlink ref="F1" location="BG!A1" display="BG" xr:uid="{00000000-0004-0000-1400-000000000000}"/>
  </hyperlinks>
  <pageMargins left="0.25" right="0.25" top="0.75" bottom="0.75" header="0.3" footer="0.3"/>
  <pageSetup paperSize="9" scale="92" fitToHeight="0" orientation="portrait" r:id="rId1"/>
  <ignoredErrors>
    <ignoredError sqref="B16:C16" formulaRange="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499984740745262"/>
    <pageSetUpPr fitToPage="1"/>
  </sheetPr>
  <dimension ref="A1:M13"/>
  <sheetViews>
    <sheetView showGridLines="0" workbookViewId="0"/>
  </sheetViews>
  <sheetFormatPr baseColWidth="10" defaultRowHeight="15"/>
  <cols>
    <col min="1" max="1" width="24.7109375" style="133" customWidth="1"/>
    <col min="2" max="2" width="17.140625" style="133" customWidth="1"/>
    <col min="3" max="3" width="17.28515625" style="133" customWidth="1"/>
    <col min="4" max="13" width="11.5703125" style="133" customWidth="1"/>
  </cols>
  <sheetData>
    <row r="1" spans="1:5">
      <c r="E1" s="153" t="s">
        <v>18</v>
      </c>
    </row>
    <row r="5" spans="1:5">
      <c r="A5" s="125" t="s">
        <v>333</v>
      </c>
      <c r="B5" s="125"/>
      <c r="C5" s="125"/>
      <c r="D5" s="125"/>
    </row>
    <row r="6" spans="1:5">
      <c r="B6" s="819" t="s">
        <v>2085</v>
      </c>
      <c r="C6" s="819"/>
    </row>
    <row r="7" spans="1:5">
      <c r="A7" s="255" t="s">
        <v>38</v>
      </c>
      <c r="B7" s="211">
        <v>2024</v>
      </c>
      <c r="C7" s="211">
        <v>2023</v>
      </c>
      <c r="D7" s="250"/>
    </row>
    <row r="8" spans="1:5">
      <c r="A8" s="251"/>
      <c r="B8" s="251"/>
      <c r="C8" s="251"/>
      <c r="D8" s="251"/>
    </row>
    <row r="9" spans="1:5">
      <c r="A9" s="252"/>
      <c r="D9" s="252"/>
    </row>
    <row r="10" spans="1:5">
      <c r="A10" s="253"/>
      <c r="D10" s="252"/>
    </row>
    <row r="11" spans="1:5">
      <c r="A11" s="223" t="s">
        <v>331</v>
      </c>
      <c r="B11" s="254">
        <f>SUM(B8:B10)</f>
        <v>0</v>
      </c>
      <c r="C11" s="254">
        <f>SUM(C8:C10)</f>
        <v>0</v>
      </c>
    </row>
    <row r="12" spans="1:5">
      <c r="A12" s="253"/>
      <c r="B12" s="133" t="s">
        <v>922</v>
      </c>
      <c r="D12" s="252"/>
    </row>
    <row r="13" spans="1:5">
      <c r="A13" s="252"/>
      <c r="D13" s="252"/>
    </row>
  </sheetData>
  <mergeCells count="1">
    <mergeCell ref="B6:C6"/>
  </mergeCells>
  <hyperlinks>
    <hyperlink ref="E1" location="BG!A1" display="BG" xr:uid="{00000000-0004-0000-1500-000000000000}"/>
  </hyperlinks>
  <pageMargins left="0.25" right="0.25" top="0.75" bottom="0.75" header="0.3" footer="0.3"/>
  <pageSetup paperSize="9" fitToHeight="0" orientation="portrait" r:id="rId1"/>
  <ignoredErrors>
    <ignoredError sqref="B11:C11" formulaRange="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499984740745262"/>
    <pageSetUpPr fitToPage="1"/>
  </sheetPr>
  <dimension ref="A1:F27"/>
  <sheetViews>
    <sheetView showGridLines="0" workbookViewId="0">
      <selection activeCell="D13" sqref="D13"/>
    </sheetView>
  </sheetViews>
  <sheetFormatPr baseColWidth="10" defaultColWidth="11.28515625" defaultRowHeight="15"/>
  <cols>
    <col min="1" max="1" width="33.28515625" customWidth="1"/>
    <col min="2" max="2" width="28.7109375" customWidth="1"/>
    <col min="3" max="3" width="27.140625" customWidth="1"/>
    <col min="4" max="4" width="18.28515625" customWidth="1"/>
    <col min="5" max="5" width="18.7109375" customWidth="1"/>
    <col min="6" max="6" width="13.5703125" bestFit="1" customWidth="1"/>
  </cols>
  <sheetData>
    <row r="1" spans="1:6">
      <c r="B1" s="124"/>
      <c r="C1" s="256" t="s">
        <v>18</v>
      </c>
    </row>
    <row r="4" spans="1:6">
      <c r="A4" s="125" t="s">
        <v>334</v>
      </c>
      <c r="B4" s="125"/>
      <c r="C4" s="125"/>
      <c r="D4" s="125"/>
      <c r="E4" s="125"/>
    </row>
    <row r="5" spans="1:6">
      <c r="A5" s="142" t="s">
        <v>2083</v>
      </c>
    </row>
    <row r="6" spans="1:6">
      <c r="A6" s="1" t="s">
        <v>335</v>
      </c>
      <c r="B6" s="1"/>
      <c r="C6" s="1"/>
      <c r="D6" s="1"/>
    </row>
    <row r="7" spans="1:6">
      <c r="E7" s="192"/>
    </row>
    <row r="8" spans="1:6">
      <c r="A8" s="88" t="s">
        <v>270</v>
      </c>
      <c r="B8" s="257" t="s">
        <v>206</v>
      </c>
      <c r="C8" s="257" t="s">
        <v>336</v>
      </c>
      <c r="D8" s="258">
        <v>2024</v>
      </c>
      <c r="E8" s="258">
        <v>2023</v>
      </c>
    </row>
    <row r="9" spans="1:6">
      <c r="A9" t="s">
        <v>337</v>
      </c>
      <c r="B9" s="25"/>
      <c r="C9" s="380" t="s">
        <v>498</v>
      </c>
      <c r="D9" s="374"/>
      <c r="E9" s="375">
        <v>0</v>
      </c>
    </row>
    <row r="10" spans="1:6">
      <c r="A10" t="s">
        <v>338</v>
      </c>
      <c r="B10" s="25"/>
      <c r="C10" s="380" t="s">
        <v>498</v>
      </c>
      <c r="D10" s="376">
        <f>'2024'!C202+'2024'!C205</f>
        <v>1972157328</v>
      </c>
      <c r="E10" s="375">
        <v>2328468503</v>
      </c>
      <c r="F10" s="510"/>
    </row>
    <row r="11" spans="1:6">
      <c r="A11" t="s">
        <v>339</v>
      </c>
      <c r="B11" s="25"/>
      <c r="C11" s="380" t="s">
        <v>496</v>
      </c>
      <c r="D11" s="377">
        <f>'2024'!C200+'2024'!C203+'2024'!C207+'2024'!C204</f>
        <v>532653604</v>
      </c>
      <c r="E11" s="378">
        <v>187356939</v>
      </c>
    </row>
    <row r="12" spans="1:6">
      <c r="A12" t="s">
        <v>339</v>
      </c>
      <c r="B12" s="25"/>
      <c r="C12" s="380" t="s">
        <v>498</v>
      </c>
      <c r="D12" s="377">
        <f>'2024'!C206+'2024'!C201</f>
        <v>139570558</v>
      </c>
      <c r="E12" s="378">
        <v>154279454</v>
      </c>
    </row>
    <row r="13" spans="1:6">
      <c r="A13" t="s">
        <v>895</v>
      </c>
      <c r="B13" s="25"/>
      <c r="C13" s="380" t="s">
        <v>496</v>
      </c>
      <c r="D13" s="377"/>
      <c r="E13" s="378"/>
    </row>
    <row r="14" spans="1:6">
      <c r="A14" s="262" t="s">
        <v>224</v>
      </c>
      <c r="B14" s="25"/>
      <c r="C14" s="259" t="str">
        <f>IFERROR(VLOOKUP(B14,'[1]Base de Monedas'!A$1:B$65536,2,0),"")</f>
        <v/>
      </c>
      <c r="D14" s="377"/>
      <c r="E14" s="378"/>
    </row>
    <row r="15" spans="1:6" ht="15.75" thickBot="1">
      <c r="A15" s="156" t="s">
        <v>340</v>
      </c>
      <c r="B15" s="150"/>
      <c r="C15" s="263"/>
      <c r="D15" s="379">
        <f>SUM($D$9:D14)</f>
        <v>2644381490</v>
      </c>
      <c r="E15" s="379">
        <f>SUM($E$9:E14)</f>
        <v>2670104896</v>
      </c>
    </row>
    <row r="16" spans="1:6" ht="15.75" thickTop="1">
      <c r="A16" s="156"/>
      <c r="B16" s="150"/>
      <c r="C16" s="263"/>
      <c r="D16" s="261"/>
      <c r="E16" s="261"/>
    </row>
    <row r="18" spans="1:5">
      <c r="D18" s="192"/>
    </row>
    <row r="19" spans="1:5">
      <c r="A19" s="88" t="s">
        <v>341</v>
      </c>
      <c r="B19" s="257" t="s">
        <v>206</v>
      </c>
      <c r="C19" s="257" t="s">
        <v>336</v>
      </c>
      <c r="D19" s="258">
        <f>+D8</f>
        <v>2024</v>
      </c>
      <c r="E19" s="258">
        <f>+E8</f>
        <v>2023</v>
      </c>
    </row>
    <row r="20" spans="1:5">
      <c r="A20" t="s">
        <v>337</v>
      </c>
      <c r="B20" s="25"/>
      <c r="C20" s="259" t="str">
        <f>IFERROR(VLOOKUP(B20,'[1]Base de Monedas'!A$1:B$65536,2,0),"")</f>
        <v/>
      </c>
      <c r="D20" s="260"/>
    </row>
    <row r="21" spans="1:5">
      <c r="A21" t="s">
        <v>338</v>
      </c>
      <c r="B21" s="25"/>
      <c r="C21" s="259" t="str">
        <f>IFERROR(VLOOKUP(B21,'[1]Base de Monedas'!A$1:B$65536,2,0),"")</f>
        <v/>
      </c>
      <c r="D21" s="198"/>
    </row>
    <row r="22" spans="1:5">
      <c r="A22" t="s">
        <v>339</v>
      </c>
      <c r="B22" s="25"/>
      <c r="C22" s="259" t="str">
        <f>IFERROR(VLOOKUP(B22,'[1]Base de Monedas'!A$1:B$65536,2,0),"")</f>
        <v/>
      </c>
      <c r="D22" s="261"/>
    </row>
    <row r="23" spans="1:5">
      <c r="A23" s="262" t="s">
        <v>224</v>
      </c>
      <c r="B23" s="25"/>
      <c r="C23" s="259" t="str">
        <f>IFERROR(VLOOKUP(B23,'[1]Base de Monedas'!A$1:B$65536,2,0),"")</f>
        <v/>
      </c>
      <c r="D23" s="261"/>
    </row>
    <row r="24" spans="1:5" ht="15.75" thickBot="1">
      <c r="A24" s="156" t="s">
        <v>340</v>
      </c>
      <c r="B24" s="150"/>
      <c r="C24" s="263"/>
      <c r="D24" s="264">
        <f>SUM($D$20:D22)</f>
        <v>0</v>
      </c>
      <c r="E24" s="264">
        <f>SUM($E$20:E22)</f>
        <v>0</v>
      </c>
    </row>
    <row r="25" spans="1:5" ht="15.75" thickTop="1"/>
    <row r="27" spans="1:5" ht="19.149999999999999" customHeight="1"/>
  </sheetData>
  <hyperlinks>
    <hyperlink ref="C1" location="BG!A1" display="BG" xr:uid="{00000000-0004-0000-1600-000000000000}"/>
  </hyperlinks>
  <pageMargins left="0.25" right="0.25" top="0.75" bottom="0.75" header="0.3" footer="0.3"/>
  <pageSetup paperSize="9" scale="78" fitToHeight="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tint="-0.499984740745262"/>
    <pageSetUpPr fitToPage="1"/>
  </sheetPr>
  <dimension ref="A1:L635"/>
  <sheetViews>
    <sheetView showGridLines="0" topLeftCell="A7" workbookViewId="0">
      <selection activeCell="I72" sqref="I72"/>
    </sheetView>
  </sheetViews>
  <sheetFormatPr baseColWidth="10" defaultRowHeight="15"/>
  <cols>
    <col min="1" max="1" width="33.85546875" customWidth="1"/>
    <col min="2" max="2" width="15.42578125" customWidth="1"/>
    <col min="3" max="3" width="20" customWidth="1"/>
    <col min="4" max="4" width="13.7109375" customWidth="1"/>
    <col min="5" max="5" width="20.28515625" bestFit="1" customWidth="1"/>
    <col min="6" max="6" width="18.7109375" customWidth="1"/>
    <col min="7" max="7" width="2.7109375" customWidth="1"/>
    <col min="9" max="9" width="17.42578125" customWidth="1"/>
    <col min="10" max="10" width="15" customWidth="1"/>
    <col min="11" max="11" width="20.28515625" bestFit="1" customWidth="1"/>
    <col min="12" max="12" width="17.7109375" customWidth="1"/>
  </cols>
  <sheetData>
    <row r="1" spans="1:12" ht="15" customHeight="1">
      <c r="E1" s="124" t="s">
        <v>18</v>
      </c>
      <c r="L1" s="124" t="s">
        <v>18</v>
      </c>
    </row>
    <row r="2" spans="1:12" ht="15" customHeight="1"/>
    <row r="3" spans="1:12" ht="15" customHeight="1"/>
    <row r="4" spans="1:12" ht="15" customHeight="1">
      <c r="A4" s="265" t="s">
        <v>342</v>
      </c>
      <c r="B4" s="265"/>
      <c r="C4" s="265"/>
      <c r="D4" s="265"/>
      <c r="E4" s="265"/>
      <c r="F4" s="265"/>
      <c r="G4" s="265"/>
      <c r="H4" s="265"/>
      <c r="I4" s="265"/>
      <c r="J4" s="265"/>
      <c r="K4" s="265"/>
      <c r="L4" s="265"/>
    </row>
    <row r="5" spans="1:12" ht="15" customHeight="1"/>
    <row r="6" spans="1:12" ht="15" customHeight="1">
      <c r="A6" t="s">
        <v>343</v>
      </c>
    </row>
    <row r="7" spans="1:12" ht="15" customHeight="1">
      <c r="A7" t="s">
        <v>344</v>
      </c>
    </row>
    <row r="8" spans="1:12" ht="15" customHeight="1"/>
    <row r="9" spans="1:12" ht="15" customHeight="1">
      <c r="A9" s="88" t="s">
        <v>270</v>
      </c>
      <c r="C9" s="192"/>
      <c r="D9" s="192"/>
      <c r="E9" s="192"/>
      <c r="I9" s="192"/>
      <c r="J9" s="192"/>
      <c r="K9" s="192"/>
      <c r="L9" s="192"/>
    </row>
    <row r="10" spans="1:12" ht="15" customHeight="1">
      <c r="A10" s="266"/>
      <c r="B10" s="267"/>
      <c r="C10" s="268"/>
      <c r="D10" s="211">
        <v>2024</v>
      </c>
      <c r="E10" s="268"/>
      <c r="F10" s="268"/>
      <c r="H10" s="268"/>
      <c r="I10" s="268"/>
      <c r="J10" s="211">
        <v>2023</v>
      </c>
      <c r="K10" s="268"/>
      <c r="L10" s="268"/>
    </row>
    <row r="11" spans="1:12" ht="15" customHeight="1">
      <c r="A11" s="269" t="s">
        <v>345</v>
      </c>
      <c r="B11" s="270" t="s">
        <v>346</v>
      </c>
      <c r="C11" s="271" t="s">
        <v>347</v>
      </c>
      <c r="D11" s="271" t="s">
        <v>348</v>
      </c>
      <c r="E11" s="269" t="s">
        <v>2087</v>
      </c>
      <c r="F11" s="270" t="s">
        <v>349</v>
      </c>
      <c r="H11" s="270" t="s">
        <v>346</v>
      </c>
      <c r="I11" s="271" t="s">
        <v>347</v>
      </c>
      <c r="J11" s="271" t="s">
        <v>348</v>
      </c>
      <c r="K11" s="269" t="s">
        <v>2087</v>
      </c>
      <c r="L11" s="270" t="s">
        <v>349</v>
      </c>
    </row>
    <row r="12" spans="1:12" ht="15" customHeight="1">
      <c r="A12" s="272" t="s">
        <v>1842</v>
      </c>
      <c r="B12" s="501">
        <v>45901</v>
      </c>
      <c r="C12" s="380" t="s">
        <v>496</v>
      </c>
      <c r="D12" t="str">
        <f>IFERROR(VLOOKUP(C12,'[1]Base de Monedas'!A$1:B$65536,2,0),"")</f>
        <v>Guaraní</v>
      </c>
      <c r="E12" s="502">
        <f>'2024'!C226</f>
        <v>107142854</v>
      </c>
      <c r="H12" s="501">
        <v>45631</v>
      </c>
      <c r="I12" s="380" t="s">
        <v>496</v>
      </c>
      <c r="J12" t="s">
        <v>497</v>
      </c>
      <c r="K12" s="502">
        <v>71428572</v>
      </c>
    </row>
    <row r="13" spans="1:12" ht="15" customHeight="1">
      <c r="A13" s="272" t="s">
        <v>980</v>
      </c>
      <c r="B13" s="501">
        <v>45983</v>
      </c>
      <c r="C13" s="380" t="s">
        <v>496</v>
      </c>
      <c r="D13" t="str">
        <f>IFERROR(VLOOKUP(C13,'[1]Base de Monedas'!A$1:B$65536,2,0),"")</f>
        <v>Guaraní</v>
      </c>
      <c r="E13" s="502">
        <f>'2024'!C227</f>
        <v>124999997</v>
      </c>
      <c r="H13" s="501">
        <v>45653</v>
      </c>
      <c r="I13" s="380" t="s">
        <v>496</v>
      </c>
      <c r="J13" t="s">
        <v>497</v>
      </c>
      <c r="K13" s="502">
        <v>77380953</v>
      </c>
    </row>
    <row r="14" spans="1:12">
      <c r="A14" s="272" t="s">
        <v>981</v>
      </c>
      <c r="B14" s="501">
        <v>46007</v>
      </c>
      <c r="C14" s="380" t="s">
        <v>496</v>
      </c>
      <c r="D14" t="str">
        <f>IFERROR(VLOOKUP(C14,'[1]Base de Monedas'!A$1:B$65536,2,0),"")</f>
        <v>Guaraní</v>
      </c>
      <c r="E14" s="502">
        <f>'2024'!C228</f>
        <v>174999993</v>
      </c>
      <c r="H14" s="501">
        <v>45647</v>
      </c>
      <c r="I14" s="380" t="s">
        <v>496</v>
      </c>
      <c r="J14" t="s">
        <v>497</v>
      </c>
      <c r="K14" s="502">
        <v>99999996</v>
      </c>
    </row>
    <row r="15" spans="1:12">
      <c r="A15" s="272" t="s">
        <v>982</v>
      </c>
      <c r="B15" s="501"/>
      <c r="C15" s="380"/>
      <c r="E15" s="502">
        <v>0</v>
      </c>
      <c r="H15" s="501">
        <v>45149</v>
      </c>
      <c r="I15" s="380" t="s">
        <v>496</v>
      </c>
      <c r="J15" t="s">
        <v>497</v>
      </c>
      <c r="K15" s="502">
        <v>0</v>
      </c>
    </row>
    <row r="16" spans="1:12">
      <c r="A16" s="272" t="s">
        <v>983</v>
      </c>
      <c r="B16" s="501"/>
      <c r="C16" s="380"/>
      <c r="E16" s="502">
        <v>0</v>
      </c>
      <c r="H16" s="501">
        <v>45073</v>
      </c>
      <c r="I16" s="380" t="s">
        <v>496</v>
      </c>
      <c r="J16" t="s">
        <v>497</v>
      </c>
      <c r="K16" s="502">
        <v>0</v>
      </c>
    </row>
    <row r="17" spans="1:11">
      <c r="A17" s="272" t="s">
        <v>984</v>
      </c>
      <c r="B17" s="501">
        <v>45697</v>
      </c>
      <c r="C17" s="380" t="s">
        <v>496</v>
      </c>
      <c r="D17" t="str">
        <f>IFERROR(VLOOKUP(C17,'[1]Base de Monedas'!A$1:B$65536,2,0),"")</f>
        <v>Guaraní</v>
      </c>
      <c r="E17" s="502">
        <f>'2024'!C230</f>
        <v>64166691</v>
      </c>
      <c r="H17" s="501">
        <v>45637</v>
      </c>
      <c r="I17" s="380" t="s">
        <v>496</v>
      </c>
      <c r="J17" t="s">
        <v>497</v>
      </c>
      <c r="K17" s="502">
        <v>69999996</v>
      </c>
    </row>
    <row r="18" spans="1:11">
      <c r="A18" s="272" t="s">
        <v>985</v>
      </c>
      <c r="B18" s="501"/>
      <c r="C18" s="380"/>
      <c r="E18" s="502">
        <v>0</v>
      </c>
      <c r="H18" s="501">
        <v>44996</v>
      </c>
      <c r="I18" s="25" t="s">
        <v>498</v>
      </c>
      <c r="J18" t="s">
        <v>499</v>
      </c>
      <c r="K18" s="502">
        <v>0</v>
      </c>
    </row>
    <row r="19" spans="1:11">
      <c r="A19" s="272" t="s">
        <v>1717</v>
      </c>
      <c r="B19" s="501"/>
      <c r="C19" s="380"/>
      <c r="E19" s="502">
        <v>0</v>
      </c>
      <c r="H19" s="501">
        <v>45024</v>
      </c>
      <c r="I19" s="25" t="s">
        <v>496</v>
      </c>
      <c r="J19" t="s">
        <v>497</v>
      </c>
      <c r="K19" s="502">
        <v>0</v>
      </c>
    </row>
    <row r="20" spans="1:11">
      <c r="A20" s="272" t="s">
        <v>2013</v>
      </c>
      <c r="B20" s="501">
        <v>45431</v>
      </c>
      <c r="C20" s="25" t="s">
        <v>496</v>
      </c>
      <c r="D20" t="s">
        <v>497</v>
      </c>
      <c r="E20" s="502">
        <f>'2024'!C233</f>
        <v>70088272</v>
      </c>
      <c r="H20" s="501">
        <v>45431</v>
      </c>
      <c r="I20" s="25" t="s">
        <v>496</v>
      </c>
      <c r="J20" t="s">
        <v>497</v>
      </c>
      <c r="K20" s="502">
        <v>172626086</v>
      </c>
    </row>
    <row r="21" spans="1:11">
      <c r="A21" s="272" t="s">
        <v>1718</v>
      </c>
      <c r="B21" s="501">
        <v>45364</v>
      </c>
      <c r="C21" s="25" t="s">
        <v>496</v>
      </c>
      <c r="D21" t="s">
        <v>497</v>
      </c>
      <c r="E21" s="502">
        <f>'2024'!C234</f>
        <v>4400000000</v>
      </c>
      <c r="H21" s="501">
        <v>44998</v>
      </c>
      <c r="I21" s="25" t="s">
        <v>496</v>
      </c>
      <c r="J21" t="s">
        <v>497</v>
      </c>
      <c r="K21" s="502">
        <v>4400000000</v>
      </c>
    </row>
    <row r="22" spans="1:11">
      <c r="A22" s="272" t="s">
        <v>1719</v>
      </c>
      <c r="B22" s="501">
        <v>46013</v>
      </c>
      <c r="C22" s="25" t="s">
        <v>496</v>
      </c>
      <c r="D22" t="s">
        <v>497</v>
      </c>
      <c r="E22" s="502">
        <f>'2024'!C225</f>
        <v>624782586</v>
      </c>
      <c r="H22">
        <v>45629</v>
      </c>
      <c r="I22" s="25" t="s">
        <v>496</v>
      </c>
      <c r="J22" t="s">
        <v>497</v>
      </c>
      <c r="K22" s="502">
        <v>374358970</v>
      </c>
    </row>
    <row r="23" spans="1:11">
      <c r="A23" s="272" t="s">
        <v>2053</v>
      </c>
      <c r="B23" s="501">
        <v>45474</v>
      </c>
      <c r="C23" s="25" t="s">
        <v>496</v>
      </c>
      <c r="D23" t="s">
        <v>497</v>
      </c>
      <c r="E23" s="502">
        <f>'2024'!C229</f>
        <v>3000000000</v>
      </c>
      <c r="H23">
        <v>45474</v>
      </c>
      <c r="I23" s="25" t="s">
        <v>496</v>
      </c>
      <c r="J23" t="s">
        <v>497</v>
      </c>
      <c r="K23" s="502">
        <v>3000000000</v>
      </c>
    </row>
    <row r="24" spans="1:11">
      <c r="A24" s="272" t="s">
        <v>2062</v>
      </c>
      <c r="B24" s="501">
        <v>45598</v>
      </c>
      <c r="C24" s="25" t="s">
        <v>496</v>
      </c>
      <c r="D24" t="s">
        <v>497</v>
      </c>
      <c r="E24" s="502">
        <f>'2024'!C235</f>
        <v>1005000000</v>
      </c>
      <c r="H24">
        <v>45471</v>
      </c>
      <c r="I24" s="25" t="s">
        <v>496</v>
      </c>
      <c r="J24" t="s">
        <v>497</v>
      </c>
      <c r="K24" s="502">
        <v>1005000000</v>
      </c>
    </row>
    <row r="25" spans="1:11">
      <c r="A25" s="272" t="s">
        <v>2013</v>
      </c>
      <c r="B25" s="501"/>
      <c r="C25" s="25" t="s">
        <v>496</v>
      </c>
      <c r="D25" t="s">
        <v>497</v>
      </c>
      <c r="E25" s="502">
        <f>+'2024'!C232</f>
        <v>1200000000</v>
      </c>
      <c r="I25" s="25"/>
      <c r="K25" s="502"/>
    </row>
    <row r="26" spans="1:11">
      <c r="A26" s="272"/>
      <c r="C26" s="25"/>
      <c r="E26" s="502"/>
      <c r="I26" s="25"/>
      <c r="K26" s="502"/>
    </row>
    <row r="27" spans="1:11" ht="15" customHeight="1">
      <c r="A27" t="s">
        <v>352</v>
      </c>
      <c r="C27" s="25"/>
      <c r="D27" t="str">
        <f>IFERROR(VLOOKUP(C27,'[1]Base de Monedas'!A$1:B$65536,2,0),"")</f>
        <v/>
      </c>
      <c r="E27" s="502"/>
      <c r="I27" s="25"/>
      <c r="J27" t="str">
        <f>IFERROR(VLOOKUP(I27,'[1]Base de Monedas'!A$1:B$65536,2,0),"")</f>
        <v/>
      </c>
      <c r="K27" s="502"/>
    </row>
    <row r="28" spans="1:11" ht="15" customHeight="1">
      <c r="A28" s="272" t="s">
        <v>353</v>
      </c>
      <c r="C28" s="25"/>
      <c r="D28" t="str">
        <f>IFERROR(VLOOKUP(C28,'[1]Base de Monedas'!A$1:B$65536,2,0),"")</f>
        <v/>
      </c>
      <c r="E28" s="502"/>
      <c r="I28" s="25"/>
      <c r="J28" t="str">
        <f>IFERROR(VLOOKUP(I28,'[1]Base de Monedas'!A$1:B$65536,2,0),"")</f>
        <v/>
      </c>
      <c r="K28" s="502"/>
    </row>
    <row r="29" spans="1:11" ht="15.6" hidden="1" customHeight="1">
      <c r="A29" s="269" t="s">
        <v>354</v>
      </c>
      <c r="C29" s="25"/>
      <c r="D29" t="str">
        <f>IFERROR(VLOOKUP(C29,'[1]Base de Monedas'!A$1:B$65536,2,0),"")</f>
        <v/>
      </c>
      <c r="E29" s="502"/>
      <c r="I29" s="25"/>
      <c r="J29" t="str">
        <f>IFERROR(VLOOKUP(I29,'[1]Base de Monedas'!A$1:B$65536,2,0),"")</f>
        <v/>
      </c>
      <c r="K29" s="502"/>
    </row>
    <row r="30" spans="1:11" ht="15" hidden="1" customHeight="1">
      <c r="A30" t="s">
        <v>350</v>
      </c>
      <c r="C30" s="25"/>
      <c r="D30" t="str">
        <f>IFERROR(VLOOKUP(C30,'[1]Base de Monedas'!A$1:B$65536,2,0),"")</f>
        <v/>
      </c>
      <c r="E30" s="502"/>
      <c r="I30" s="25"/>
      <c r="J30" t="str">
        <f>IFERROR(VLOOKUP(I30,'[1]Base de Monedas'!A$1:B$65536,2,0),"")</f>
        <v/>
      </c>
      <c r="K30" s="502"/>
    </row>
    <row r="31" spans="1:11" ht="15" hidden="1" customHeight="1">
      <c r="A31" t="s">
        <v>350</v>
      </c>
      <c r="C31" s="25"/>
      <c r="D31" t="str">
        <f>IFERROR(VLOOKUP(C31,'[1]Base de Monedas'!A$1:B$65536,2,0),"")</f>
        <v/>
      </c>
      <c r="E31" s="502"/>
      <c r="I31" s="25"/>
      <c r="J31" t="str">
        <f>IFERROR(VLOOKUP(I31,'[1]Base de Monedas'!A$1:B$65536,2,0),"")</f>
        <v/>
      </c>
      <c r="K31" s="502"/>
    </row>
    <row r="32" spans="1:11" ht="15" hidden="1" customHeight="1">
      <c r="A32" s="272" t="s">
        <v>351</v>
      </c>
      <c r="C32" s="25"/>
      <c r="D32" t="str">
        <f>IFERROR(VLOOKUP(C32,'[1]Base de Monedas'!A$1:B$65536,2,0),"")</f>
        <v/>
      </c>
      <c r="E32" s="502"/>
      <c r="I32" s="25"/>
      <c r="J32" t="str">
        <f>IFERROR(VLOOKUP(I32,'[1]Base de Monedas'!A$1:B$65536,2,0),"")</f>
        <v/>
      </c>
      <c r="K32" s="502"/>
    </row>
    <row r="33" spans="1:12" ht="15" hidden="1" customHeight="1">
      <c r="A33" t="s">
        <v>352</v>
      </c>
      <c r="C33" s="25"/>
      <c r="D33" t="str">
        <f>IFERROR(VLOOKUP(C33,'[1]Base de Monedas'!A$1:B$65536,2,0),"")</f>
        <v/>
      </c>
      <c r="E33" s="502"/>
      <c r="I33" s="25"/>
      <c r="J33" t="str">
        <f>IFERROR(VLOOKUP(I33,'[1]Base de Monedas'!A$1:B$65536,2,0),"")</f>
        <v/>
      </c>
      <c r="K33" s="502"/>
    </row>
    <row r="34" spans="1:12" ht="15" hidden="1" customHeight="1">
      <c r="A34" s="272" t="s">
        <v>353</v>
      </c>
      <c r="C34" s="25"/>
      <c r="D34" t="str">
        <f>IFERROR(VLOOKUP(C34,'[1]Base de Monedas'!A$1:B$65536,2,0),"")</f>
        <v/>
      </c>
      <c r="E34" s="502"/>
      <c r="I34" s="25"/>
      <c r="J34" t="str">
        <f>IFERROR(VLOOKUP(I34,'[1]Base de Monedas'!A$1:B$65536,2,0),"")</f>
        <v/>
      </c>
      <c r="K34" s="502"/>
    </row>
    <row r="35" spans="1:12">
      <c r="A35" s="88" t="s">
        <v>355</v>
      </c>
      <c r="C35" s="25"/>
      <c r="D35" t="str">
        <f>IFERROR(VLOOKUP(C35,'[1]Base de Monedas'!A$1:B$65536,2,0),"")</f>
        <v/>
      </c>
      <c r="E35" s="502"/>
      <c r="I35" s="25"/>
      <c r="J35" t="str">
        <f>IFERROR(VLOOKUP(I35,'[1]Base de Monedas'!A$1:B$65536,2,0),"")</f>
        <v/>
      </c>
      <c r="K35" s="502"/>
    </row>
    <row r="36" spans="1:12">
      <c r="A36" t="s">
        <v>356</v>
      </c>
      <c r="C36" s="25"/>
      <c r="D36" t="str">
        <f>IFERROR(VLOOKUP(C36,'[1]Base de Monedas'!A$1:B$65536,2,0),"")</f>
        <v/>
      </c>
      <c r="E36" s="502">
        <f>'2024'!C236</f>
        <v>1149393955</v>
      </c>
      <c r="I36" s="25"/>
      <c r="J36" t="str">
        <f>IFERROR(VLOOKUP(I36,'[1]Base de Monedas'!A$1:B$65536,2,0),"")</f>
        <v/>
      </c>
      <c r="K36" s="502">
        <v>953710921</v>
      </c>
    </row>
    <row r="37" spans="1:12">
      <c r="A37" t="s">
        <v>357</v>
      </c>
      <c r="C37" s="25"/>
      <c r="E37" s="502">
        <f>'2024'!C237</f>
        <v>-1149393955</v>
      </c>
      <c r="I37" s="25"/>
      <c r="K37" s="502">
        <v>-953711101</v>
      </c>
    </row>
    <row r="38" spans="1:12" ht="15" customHeight="1">
      <c r="A38" s="88" t="s">
        <v>358</v>
      </c>
      <c r="C38" s="25"/>
      <c r="D38" t="str">
        <f>IFERROR(VLOOKUP(C38,'[1]Base de Monedas'!A$1:B$65536,2,0),"")</f>
        <v/>
      </c>
      <c r="E38" s="502"/>
    </row>
    <row r="39" spans="1:12" ht="15" customHeight="1">
      <c r="A39" t="s">
        <v>356</v>
      </c>
      <c r="C39" s="25"/>
      <c r="D39" t="str">
        <f>IFERROR(VLOOKUP(C39,'[1]Base de Monedas'!A$1:B$65536,2,0),"")</f>
        <v/>
      </c>
      <c r="E39" s="677">
        <v>395164383.56200004</v>
      </c>
    </row>
    <row r="40" spans="1:12" ht="15" customHeight="1">
      <c r="A40" s="273" t="s">
        <v>357</v>
      </c>
      <c r="B40" s="273"/>
      <c r="C40" s="274"/>
      <c r="D40" s="273" t="str">
        <f>IFERROR(VLOOKUP(C40,'[1]Base de Monedas'!A$1:B$65536,2,0),"")</f>
        <v/>
      </c>
      <c r="E40" s="699">
        <v>-395164383.56199998</v>
      </c>
      <c r="F40" s="273"/>
      <c r="G40" s="273"/>
      <c r="H40" s="273"/>
      <c r="I40" s="273"/>
      <c r="J40" s="273"/>
      <c r="K40" s="273"/>
      <c r="L40" s="273"/>
    </row>
    <row r="41" spans="1:12" ht="15" customHeight="1">
      <c r="A41" s="88" t="s">
        <v>161</v>
      </c>
      <c r="C41" s="25"/>
      <c r="D41" t="str">
        <f>IFERROR(VLOOKUP(C41,'[1]Base de Monedas'!A$1:B$65536,2,0),"")</f>
        <v/>
      </c>
      <c r="E41" s="407">
        <f>SUM($E$12:E40)</f>
        <v>10771180393</v>
      </c>
      <c r="K41" s="502">
        <f>SUM($K$12:K40)</f>
        <v>9270794393</v>
      </c>
    </row>
    <row r="42" spans="1:12" ht="15" customHeight="1">
      <c r="A42" s="88"/>
    </row>
    <row r="43" spans="1:12" ht="15" customHeight="1"/>
    <row r="44" spans="1:12" ht="15" customHeight="1">
      <c r="A44" s="88" t="s">
        <v>341</v>
      </c>
      <c r="D44" s="192"/>
      <c r="E44" s="192"/>
      <c r="I44" s="192"/>
      <c r="J44" s="192"/>
      <c r="K44" s="192"/>
      <c r="L44" s="192"/>
    </row>
    <row r="45" spans="1:12" ht="15" customHeight="1">
      <c r="A45" s="266"/>
      <c r="B45" s="268"/>
      <c r="C45" s="268"/>
      <c r="D45" s="211">
        <f>+D10</f>
        <v>2024</v>
      </c>
      <c r="E45" s="268"/>
      <c r="F45" s="268"/>
      <c r="H45" s="268"/>
      <c r="I45" s="268"/>
      <c r="J45" s="211">
        <f>+J10</f>
        <v>2023</v>
      </c>
      <c r="K45" s="268"/>
      <c r="L45" s="268"/>
    </row>
    <row r="46" spans="1:12" ht="15" customHeight="1">
      <c r="A46" s="269" t="s">
        <v>345</v>
      </c>
      <c r="B46" s="270" t="s">
        <v>346</v>
      </c>
      <c r="C46" s="271" t="s">
        <v>347</v>
      </c>
      <c r="D46" s="271" t="s">
        <v>348</v>
      </c>
      <c r="E46" s="269" t="s">
        <v>2088</v>
      </c>
      <c r="F46" s="270" t="s">
        <v>359</v>
      </c>
      <c r="H46" s="270" t="s">
        <v>346</v>
      </c>
      <c r="I46" s="271" t="s">
        <v>347</v>
      </c>
      <c r="J46" s="271" t="s">
        <v>348</v>
      </c>
      <c r="K46" s="269" t="s">
        <v>2088</v>
      </c>
      <c r="L46" s="270" t="s">
        <v>349</v>
      </c>
    </row>
    <row r="47" spans="1:12" ht="15" customHeight="1">
      <c r="A47" t="s">
        <v>992</v>
      </c>
      <c r="B47" s="501">
        <v>47519</v>
      </c>
      <c r="C47" s="380" t="s">
        <v>496</v>
      </c>
      <c r="D47" t="str">
        <f>IFERROR(VLOOKUP(C47,'[1]Base de Monedas'!A$1:B$65536,2,0),"")</f>
        <v>Guaraní</v>
      </c>
      <c r="E47" s="502">
        <f>'2024'!C241</f>
        <v>1282051250</v>
      </c>
      <c r="H47" s="501">
        <v>47519</v>
      </c>
      <c r="I47" s="380" t="s">
        <v>496</v>
      </c>
      <c r="J47" t="s">
        <v>497</v>
      </c>
      <c r="K47" s="502">
        <v>1668956000</v>
      </c>
    </row>
    <row r="48" spans="1:12" ht="15" customHeight="1">
      <c r="A48" t="s">
        <v>991</v>
      </c>
      <c r="B48" s="501"/>
      <c r="C48" s="380"/>
      <c r="E48" s="502"/>
      <c r="H48" s="501">
        <v>45697</v>
      </c>
      <c r="I48" s="380" t="s">
        <v>496</v>
      </c>
      <c r="J48" t="s">
        <v>497</v>
      </c>
      <c r="K48" s="502">
        <v>11666694</v>
      </c>
    </row>
    <row r="49" spans="1:11" ht="15" customHeight="1">
      <c r="A49" s="272" t="s">
        <v>990</v>
      </c>
      <c r="B49" s="501">
        <v>46075</v>
      </c>
      <c r="C49" s="380" t="s">
        <v>496</v>
      </c>
      <c r="D49" t="str">
        <f>IFERROR(VLOOKUP(C49,'[1]Base de Monedas'!A$1:B$65536,2,0),"")</f>
        <v>Guaraní</v>
      </c>
      <c r="E49" s="502">
        <f>'2024'!C243</f>
        <v>51486790</v>
      </c>
      <c r="H49" s="501">
        <v>46075</v>
      </c>
      <c r="I49" s="380" t="s">
        <v>496</v>
      </c>
      <c r="J49" t="s">
        <v>497</v>
      </c>
      <c r="K49" s="502">
        <v>112166826</v>
      </c>
    </row>
    <row r="50" spans="1:11" ht="15" customHeight="1">
      <c r="A50" s="272" t="s">
        <v>989</v>
      </c>
      <c r="B50" s="501">
        <v>46097</v>
      </c>
      <c r="C50" s="380" t="s">
        <v>496</v>
      </c>
      <c r="D50" t="str">
        <f>IFERROR(VLOOKUP(C50,'[1]Base de Monedas'!A$1:B$65536,2,0),"")</f>
        <v>Guaraní</v>
      </c>
      <c r="E50" s="502">
        <f>'2024'!C244</f>
        <v>25000027</v>
      </c>
      <c r="H50" s="501">
        <v>46097</v>
      </c>
      <c r="I50" s="380" t="s">
        <v>496</v>
      </c>
      <c r="J50" t="s">
        <v>497</v>
      </c>
      <c r="K50" s="502">
        <v>125000023</v>
      </c>
    </row>
    <row r="51" spans="1:11" ht="15" hidden="1" customHeight="1">
      <c r="A51" s="272" t="s">
        <v>986</v>
      </c>
      <c r="B51" s="501"/>
      <c r="C51" s="380"/>
      <c r="E51" s="502"/>
      <c r="H51" s="501"/>
      <c r="I51" s="380"/>
      <c r="J51" t="s">
        <v>497</v>
      </c>
      <c r="K51" s="502"/>
    </row>
    <row r="52" spans="1:11" ht="15" hidden="1" customHeight="1">
      <c r="A52" s="272" t="s">
        <v>987</v>
      </c>
      <c r="B52" s="501"/>
      <c r="C52" s="380"/>
      <c r="E52" s="502"/>
      <c r="H52" s="501"/>
      <c r="I52" s="380"/>
      <c r="J52" t="s">
        <v>497</v>
      </c>
      <c r="K52" s="502"/>
    </row>
    <row r="53" spans="1:11" ht="15" customHeight="1">
      <c r="A53" s="272" t="s">
        <v>988</v>
      </c>
      <c r="B53" s="501"/>
      <c r="C53" s="380"/>
      <c r="E53" s="502"/>
      <c r="H53" s="501">
        <v>45983</v>
      </c>
      <c r="I53" s="380" t="s">
        <v>496</v>
      </c>
      <c r="J53" t="s">
        <v>497</v>
      </c>
      <c r="K53" s="502">
        <v>65476187</v>
      </c>
    </row>
    <row r="54" spans="1:11" ht="15" customHeight="1">
      <c r="A54" t="s">
        <v>352</v>
      </c>
      <c r="C54" s="25"/>
      <c r="D54" t="str">
        <f>IFERROR(VLOOKUP(C54,'[1]Base de Monedas'!A$1:B$65536,2,0),"")</f>
        <v/>
      </c>
      <c r="E54" s="502"/>
      <c r="I54" s="25"/>
      <c r="J54" t="str">
        <f>IFERROR(VLOOKUP(I54,'[1]Base de Monedas'!A$1:B$65536,2,0),"")</f>
        <v/>
      </c>
    </row>
    <row r="55" spans="1:11" ht="15" customHeight="1">
      <c r="A55" t="s">
        <v>2305</v>
      </c>
      <c r="C55" s="25" t="s">
        <v>496</v>
      </c>
      <c r="D55" t="str">
        <f>IFERROR(VLOOKUP(C55,'[1]Base de Monedas'!A$1:B$65536,2,0),"")</f>
        <v>Guaraní</v>
      </c>
      <c r="E55" s="502">
        <f>+'2024'!C253</f>
        <v>2000000000</v>
      </c>
      <c r="I55" s="25"/>
    </row>
    <row r="56" spans="1:11" ht="15" customHeight="1">
      <c r="A56" s="272" t="s">
        <v>353</v>
      </c>
      <c r="C56" s="25"/>
      <c r="D56" t="str">
        <f>IFERROR(VLOOKUP(C56,'[1]Base de Monedas'!A$1:B$65536,2,0),"")</f>
        <v/>
      </c>
      <c r="E56" s="502"/>
      <c r="I56" s="25"/>
      <c r="J56" t="str">
        <f>IFERROR(VLOOKUP(I56,'[1]Base de Monedas'!A$1:B$65536,2,0),"")</f>
        <v/>
      </c>
    </row>
    <row r="57" spans="1:11" ht="15" hidden="1" customHeight="1">
      <c r="A57" s="269" t="s">
        <v>354</v>
      </c>
      <c r="C57" s="25"/>
      <c r="D57" t="str">
        <f>IFERROR(VLOOKUP(C57,'[1]Base de Monedas'!A$1:B$65536,2,0),"")</f>
        <v/>
      </c>
      <c r="E57" s="502"/>
      <c r="I57" s="25"/>
      <c r="J57" t="str">
        <f>IFERROR(VLOOKUP(I57,'[1]Base de Monedas'!A$1:B$65536,2,0),"")</f>
        <v/>
      </c>
    </row>
    <row r="58" spans="1:11" ht="15" hidden="1" customHeight="1">
      <c r="A58" t="s">
        <v>350</v>
      </c>
      <c r="C58" s="25"/>
      <c r="D58" t="str">
        <f>IFERROR(VLOOKUP(C58,'[1]Base de Monedas'!A$1:B$65536,2,0),"")</f>
        <v/>
      </c>
      <c r="E58" s="502"/>
      <c r="I58" s="25"/>
      <c r="J58" t="str">
        <f>IFERROR(VLOOKUP(I58,'[1]Base de Monedas'!A$1:B$65536,2,0),"")</f>
        <v/>
      </c>
    </row>
    <row r="59" spans="1:11" ht="15" hidden="1" customHeight="1">
      <c r="A59" t="s">
        <v>350</v>
      </c>
      <c r="C59" s="25"/>
      <c r="D59" t="str">
        <f>IFERROR(VLOOKUP(C59,'[1]Base de Monedas'!A$1:B$65536,2,0),"")</f>
        <v/>
      </c>
      <c r="E59" s="502"/>
      <c r="I59" s="25"/>
      <c r="J59" t="str">
        <f>IFERROR(VLOOKUP(I59,'[1]Base de Monedas'!A$1:B$65536,2,0),"")</f>
        <v/>
      </c>
    </row>
    <row r="60" spans="1:11" ht="15" hidden="1" customHeight="1">
      <c r="A60" s="272" t="s">
        <v>351</v>
      </c>
      <c r="C60" s="25"/>
      <c r="D60" t="str">
        <f>IFERROR(VLOOKUP(C60,'[1]Base de Monedas'!A$1:B$65536,2,0),"")</f>
        <v/>
      </c>
      <c r="E60" s="502"/>
      <c r="I60" s="25"/>
      <c r="J60" t="str">
        <f>IFERROR(VLOOKUP(I60,'[1]Base de Monedas'!A$1:B$65536,2,0),"")</f>
        <v/>
      </c>
    </row>
    <row r="61" spans="1:11" ht="15" hidden="1" customHeight="1">
      <c r="A61" t="s">
        <v>352</v>
      </c>
      <c r="C61" s="25"/>
      <c r="D61" t="str">
        <f>IFERROR(VLOOKUP(C61,'[1]Base de Monedas'!A$1:B$65536,2,0),"")</f>
        <v/>
      </c>
      <c r="E61" s="502"/>
      <c r="I61" s="25"/>
      <c r="J61" t="str">
        <f>IFERROR(VLOOKUP(I61,'[1]Base de Monedas'!A$1:B$65536,2,0),"")</f>
        <v/>
      </c>
    </row>
    <row r="62" spans="1:11" ht="15" hidden="1" customHeight="1">
      <c r="A62" s="272" t="s">
        <v>353</v>
      </c>
      <c r="C62" s="25"/>
      <c r="D62" t="str">
        <f>IFERROR(VLOOKUP(C62,'[1]Base de Monedas'!A$1:B$65536,2,0),"")</f>
        <v/>
      </c>
      <c r="E62" s="502"/>
      <c r="I62" s="25"/>
      <c r="J62" t="str">
        <f>IFERROR(VLOOKUP(I62,'[1]Base de Monedas'!A$1:B$65536,2,0),"")</f>
        <v/>
      </c>
    </row>
    <row r="63" spans="1:11" ht="15" customHeight="1">
      <c r="A63" s="88" t="s">
        <v>355</v>
      </c>
      <c r="C63" s="25"/>
      <c r="D63" t="str">
        <f>IFERROR(VLOOKUP(C63,'[1]Base de Monedas'!A$1:B$65536,2,0),"")</f>
        <v/>
      </c>
      <c r="E63" s="502"/>
      <c r="I63" s="25"/>
      <c r="J63" t="str">
        <f>IFERROR(VLOOKUP(I63,'[1]Base de Monedas'!A$1:B$65536,2,0),"")</f>
        <v/>
      </c>
    </row>
    <row r="64" spans="1:11" ht="15" customHeight="1">
      <c r="A64" t="s">
        <v>356</v>
      </c>
      <c r="C64" s="25"/>
      <c r="D64" t="str">
        <f>IFERROR(VLOOKUP(C64,'[1]Base de Monedas'!A$1:B$65536,2,0),"")</f>
        <v/>
      </c>
      <c r="E64" s="502">
        <f>-'2024'!C246</f>
        <v>-336414114</v>
      </c>
      <c r="I64" s="25"/>
      <c r="J64" t="str">
        <f>IFERROR(VLOOKUP(I64,'[1]Base de Monedas'!A$1:B$65536,2,0),"")</f>
        <v/>
      </c>
      <c r="K64" s="502">
        <v>549016951</v>
      </c>
    </row>
    <row r="65" spans="1:12" ht="15" customHeight="1">
      <c r="A65" t="s">
        <v>357</v>
      </c>
      <c r="C65" s="25"/>
      <c r="E65" s="502">
        <f>-'2024'!C247</f>
        <v>336414112</v>
      </c>
      <c r="I65" s="25"/>
      <c r="K65" s="502">
        <v>-549016949</v>
      </c>
    </row>
    <row r="66" spans="1:12" ht="15" customHeight="1">
      <c r="A66" s="88" t="s">
        <v>358</v>
      </c>
      <c r="C66" s="25"/>
      <c r="D66" t="str">
        <f>IFERROR(VLOOKUP(C66,'[1]Base de Monedas'!A$1:B$65536,2,0),"")</f>
        <v/>
      </c>
      <c r="E66" s="502"/>
      <c r="I66" s="25"/>
      <c r="J66" t="str">
        <f>IFERROR(VLOOKUP(I66,'[1]Base de Monedas'!A$1:B$65536,2,0),"")</f>
        <v/>
      </c>
      <c r="K66" s="502"/>
    </row>
    <row r="67" spans="1:12" ht="15" customHeight="1">
      <c r="A67" t="s">
        <v>356</v>
      </c>
      <c r="C67" s="25"/>
      <c r="D67" t="str">
        <f>IFERROR(VLOOKUP(C67,'[1]Base de Monedas'!A$1:B$65536,2,0),"")</f>
        <v/>
      </c>
      <c r="E67" s="677">
        <f>679383561.645-E39</f>
        <v>284219178.08299994</v>
      </c>
      <c r="I67" s="25"/>
      <c r="J67" t="str">
        <f>IFERROR(VLOOKUP(I67,'[1]Base de Monedas'!A$1:B$65536,2,0),"")</f>
        <v/>
      </c>
      <c r="K67" s="502"/>
    </row>
    <row r="68" spans="1:12" ht="15" customHeight="1">
      <c r="A68" s="273" t="s">
        <v>357</v>
      </c>
      <c r="B68" s="273"/>
      <c r="C68" s="274"/>
      <c r="D68" s="273" t="str">
        <f>IFERROR(VLOOKUP(C68,'[1]Base de Monedas'!A$1:B$65536,2,0),"")</f>
        <v/>
      </c>
      <c r="E68" s="699">
        <v>-284219178.083</v>
      </c>
      <c r="F68" s="273"/>
      <c r="G68" s="273"/>
      <c r="H68" s="273"/>
      <c r="I68" s="273"/>
      <c r="J68" s="273"/>
      <c r="K68" s="503"/>
      <c r="L68" s="273"/>
    </row>
    <row r="69" spans="1:12" ht="15" customHeight="1">
      <c r="A69" s="88" t="s">
        <v>161</v>
      </c>
      <c r="C69" s="25"/>
      <c r="D69" t="str">
        <f>IFERROR(VLOOKUP(C69,'[1]Base de Monedas'!A$1:B$65536,2,0),"")</f>
        <v/>
      </c>
      <c r="E69" s="407">
        <f>SUM(E47:E68)</f>
        <v>3358538065</v>
      </c>
      <c r="I69" s="25"/>
      <c r="J69" t="str">
        <f>IFERROR(VLOOKUP(I69,'[1]Base de Monedas'!A$1:B$65536,2,0),"")</f>
        <v/>
      </c>
      <c r="K69" s="502">
        <f>SUM($K$47:K68)</f>
        <v>1983265732</v>
      </c>
    </row>
    <row r="70" spans="1:12" ht="15" customHeight="1">
      <c r="I70" s="25"/>
      <c r="J70" t="str">
        <f>IFERROR(VLOOKUP(I70,'[1]Base de Monedas'!H$1:I$65536,2,0),"")</f>
        <v/>
      </c>
    </row>
    <row r="71" spans="1:12" ht="15" customHeight="1"/>
    <row r="72" spans="1:12" ht="15" customHeight="1"/>
    <row r="73" spans="1:12" ht="15" customHeight="1"/>
    <row r="74" spans="1:12" ht="15" customHeight="1"/>
    <row r="75" spans="1:12" ht="15" customHeight="1"/>
    <row r="76" spans="1:12" ht="15" customHeight="1"/>
    <row r="77" spans="1:12" ht="15" customHeight="1"/>
    <row r="78" spans="1:12" ht="15" customHeight="1"/>
    <row r="79" spans="1:12" ht="15" customHeight="1"/>
    <row r="80" spans="1:12"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sheetData>
  <hyperlinks>
    <hyperlink ref="L1" location="BG!A1" display="BG" xr:uid="{00000000-0004-0000-1700-000000000000}"/>
    <hyperlink ref="E1" location="BG!A1" display="BG" xr:uid="{00000000-0004-0000-1700-000001000000}"/>
  </hyperlinks>
  <pageMargins left="0.25" right="0.25" top="0.75" bottom="0.75" header="0.3" footer="0.3"/>
  <pageSetup paperSize="9" scale="68"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499984740745262"/>
    <pageSetUpPr fitToPage="1"/>
  </sheetPr>
  <dimension ref="A1:AH19"/>
  <sheetViews>
    <sheetView topLeftCell="A4" workbookViewId="0">
      <selection activeCell="C9" sqref="C9"/>
    </sheetView>
  </sheetViews>
  <sheetFormatPr baseColWidth="10" defaultRowHeight="15"/>
  <cols>
    <col min="1" max="1" width="44.7109375" style="133" customWidth="1"/>
    <col min="2" max="2" width="18.28515625" style="133" customWidth="1"/>
    <col min="3" max="3" width="20.140625" style="133" customWidth="1"/>
    <col min="4" max="34" width="11.5703125" style="133" customWidth="1"/>
  </cols>
  <sheetData>
    <row r="1" spans="1:34">
      <c r="D1" s="153" t="s">
        <v>18</v>
      </c>
    </row>
    <row r="5" spans="1:34">
      <c r="A5" s="125" t="s">
        <v>360</v>
      </c>
      <c r="B5" s="125"/>
      <c r="C5" s="125"/>
      <c r="D5" s="125"/>
      <c r="T5"/>
      <c r="U5"/>
      <c r="V5"/>
      <c r="W5"/>
      <c r="X5"/>
      <c r="Y5"/>
      <c r="Z5"/>
      <c r="AA5"/>
      <c r="AB5"/>
      <c r="AC5"/>
      <c r="AD5"/>
      <c r="AE5"/>
      <c r="AF5"/>
      <c r="AG5"/>
      <c r="AH5"/>
    </row>
    <row r="7" spans="1:34">
      <c r="B7" s="819" t="s">
        <v>2085</v>
      </c>
      <c r="C7" s="819"/>
    </row>
    <row r="8" spans="1:34">
      <c r="A8" s="255" t="s">
        <v>44</v>
      </c>
      <c r="B8" s="275">
        <v>2024</v>
      </c>
      <c r="C8" s="275">
        <v>2023</v>
      </c>
      <c r="D8" s="250"/>
      <c r="T8"/>
      <c r="U8"/>
      <c r="V8"/>
      <c r="W8"/>
      <c r="X8"/>
      <c r="Y8"/>
      <c r="Z8"/>
      <c r="AA8"/>
      <c r="AB8"/>
      <c r="AC8"/>
      <c r="AD8"/>
      <c r="AE8"/>
      <c r="AF8"/>
      <c r="AG8"/>
      <c r="AH8"/>
    </row>
    <row r="9" spans="1:34">
      <c r="A9" s="251" t="s">
        <v>40</v>
      </c>
      <c r="B9" s="251"/>
      <c r="C9" s="251"/>
      <c r="D9" s="251"/>
      <c r="T9"/>
      <c r="U9"/>
      <c r="V9"/>
      <c r="W9"/>
      <c r="X9"/>
      <c r="Y9"/>
      <c r="Z9"/>
      <c r="AA9"/>
      <c r="AB9"/>
      <c r="AC9"/>
      <c r="AD9"/>
      <c r="AE9"/>
      <c r="AF9"/>
      <c r="AG9"/>
      <c r="AH9"/>
    </row>
    <row r="10" spans="1:34">
      <c r="A10" s="252" t="s">
        <v>361</v>
      </c>
      <c r="D10" s="252"/>
      <c r="T10"/>
      <c r="U10"/>
      <c r="V10"/>
      <c r="W10"/>
      <c r="X10"/>
      <c r="Y10"/>
      <c r="Z10"/>
      <c r="AA10"/>
      <c r="AB10"/>
      <c r="AC10"/>
      <c r="AD10"/>
      <c r="AE10"/>
      <c r="AF10"/>
      <c r="AG10"/>
      <c r="AH10"/>
    </row>
    <row r="11" spans="1:34">
      <c r="A11" s="252" t="s">
        <v>362</v>
      </c>
      <c r="D11" s="252"/>
      <c r="T11"/>
      <c r="U11"/>
      <c r="V11"/>
      <c r="W11"/>
      <c r="X11"/>
      <c r="Y11"/>
      <c r="Z11"/>
      <c r="AA11"/>
      <c r="AB11"/>
      <c r="AC11"/>
      <c r="AD11"/>
      <c r="AE11"/>
      <c r="AF11"/>
      <c r="AG11"/>
      <c r="AH11"/>
    </row>
    <row r="12" spans="1:34">
      <c r="A12" s="252" t="s">
        <v>363</v>
      </c>
      <c r="D12" s="252"/>
      <c r="T12"/>
      <c r="U12"/>
      <c r="V12"/>
      <c r="W12"/>
      <c r="X12"/>
      <c r="Y12"/>
      <c r="Z12"/>
      <c r="AA12"/>
      <c r="AB12"/>
      <c r="AC12"/>
      <c r="AD12"/>
      <c r="AE12"/>
      <c r="AF12"/>
      <c r="AG12"/>
      <c r="AH12"/>
    </row>
    <row r="13" spans="1:34">
      <c r="A13" s="252" t="s">
        <v>364</v>
      </c>
      <c r="D13" s="252"/>
      <c r="T13"/>
      <c r="U13"/>
      <c r="V13"/>
      <c r="W13"/>
      <c r="X13"/>
      <c r="Y13"/>
      <c r="Z13"/>
      <c r="AA13"/>
      <c r="AB13"/>
      <c r="AC13"/>
      <c r="AD13"/>
      <c r="AE13"/>
      <c r="AF13"/>
      <c r="AG13"/>
      <c r="AH13"/>
    </row>
    <row r="14" spans="1:34">
      <c r="A14" s="276" t="s">
        <v>224</v>
      </c>
      <c r="B14" s="251"/>
      <c r="C14" s="251"/>
      <c r="D14" s="251"/>
      <c r="T14"/>
      <c r="U14"/>
      <c r="V14"/>
      <c r="W14"/>
      <c r="X14"/>
      <c r="Y14"/>
      <c r="Z14"/>
      <c r="AA14"/>
      <c r="AB14"/>
      <c r="AC14"/>
      <c r="AD14"/>
      <c r="AE14"/>
      <c r="AF14"/>
      <c r="AG14"/>
      <c r="AH14"/>
    </row>
    <row r="15" spans="1:34">
      <c r="A15" s="223" t="s">
        <v>331</v>
      </c>
      <c r="B15" s="254">
        <f>SUM($B$9:B14)</f>
        <v>0</v>
      </c>
      <c r="C15" s="254">
        <f>SUM($C$9:C14)</f>
        <v>0</v>
      </c>
      <c r="T15"/>
      <c r="U15"/>
      <c r="V15"/>
      <c r="W15"/>
      <c r="X15"/>
      <c r="Y15"/>
      <c r="Z15"/>
      <c r="AA15"/>
      <c r="AB15"/>
      <c r="AC15"/>
      <c r="AD15"/>
      <c r="AE15"/>
      <c r="AF15"/>
      <c r="AG15"/>
      <c r="AH15"/>
    </row>
    <row r="16" spans="1:34">
      <c r="A16" s="253"/>
      <c r="B16" s="133" t="s">
        <v>922</v>
      </c>
      <c r="D16" s="252"/>
      <c r="T16"/>
      <c r="U16"/>
      <c r="V16"/>
      <c r="W16"/>
      <c r="X16"/>
      <c r="Y16"/>
      <c r="Z16"/>
      <c r="AA16"/>
      <c r="AB16"/>
      <c r="AC16"/>
      <c r="AD16"/>
      <c r="AE16"/>
      <c r="AF16"/>
      <c r="AG16"/>
      <c r="AH16"/>
    </row>
    <row r="17" spans="1:34">
      <c r="A17" s="252"/>
      <c r="D17" s="252"/>
      <c r="T17"/>
      <c r="U17"/>
      <c r="V17"/>
      <c r="W17"/>
      <c r="X17"/>
      <c r="Y17"/>
      <c r="Z17"/>
      <c r="AA17"/>
      <c r="AB17"/>
      <c r="AC17"/>
      <c r="AD17"/>
      <c r="AE17"/>
      <c r="AF17"/>
      <c r="AG17"/>
      <c r="AH17"/>
    </row>
    <row r="18" spans="1:34">
      <c r="A18" s="253"/>
      <c r="D18" s="252"/>
      <c r="E18" s="251"/>
      <c r="F18" s="251"/>
      <c r="T18"/>
      <c r="U18"/>
      <c r="V18"/>
      <c r="W18"/>
      <c r="X18"/>
      <c r="Y18"/>
      <c r="Z18"/>
      <c r="AA18"/>
      <c r="AB18"/>
      <c r="AC18"/>
      <c r="AD18"/>
      <c r="AE18"/>
      <c r="AF18"/>
      <c r="AG18"/>
      <c r="AH18"/>
    </row>
    <row r="19" spans="1:34">
      <c r="T19"/>
      <c r="U19"/>
      <c r="V19"/>
      <c r="W19"/>
      <c r="X19"/>
      <c r="Y19"/>
      <c r="Z19"/>
      <c r="AA19"/>
      <c r="AB19"/>
      <c r="AC19"/>
      <c r="AD19"/>
      <c r="AE19"/>
      <c r="AF19"/>
      <c r="AG19"/>
      <c r="AH19"/>
    </row>
  </sheetData>
  <mergeCells count="1">
    <mergeCell ref="B7:C7"/>
  </mergeCells>
  <hyperlinks>
    <hyperlink ref="D1" location="BG!A1" display="BG" xr:uid="{00000000-0004-0000-1800-000000000000}"/>
  </hyperlinks>
  <pageMargins left="0.25" right="0.25" top="0.75" bottom="0.75" header="0.3" footer="0.3"/>
  <pageSetup paperSize="9" fitToHeight="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5" tint="-0.499984740745262"/>
    <pageSetUpPr fitToPage="1"/>
  </sheetPr>
  <dimension ref="A1:AG12"/>
  <sheetViews>
    <sheetView workbookViewId="0">
      <selection activeCell="B9" sqref="B9"/>
    </sheetView>
  </sheetViews>
  <sheetFormatPr baseColWidth="10" defaultRowHeight="15"/>
  <cols>
    <col min="1" max="1" width="48.28515625" style="133" customWidth="1"/>
    <col min="2" max="3" width="22.7109375" style="133" customWidth="1"/>
    <col min="4" max="33" width="11.5703125" style="133" customWidth="1"/>
  </cols>
  <sheetData>
    <row r="1" spans="1:33">
      <c r="F1" s="153" t="s">
        <v>18</v>
      </c>
    </row>
    <row r="4" spans="1:33">
      <c r="A4" s="125" t="s">
        <v>365</v>
      </c>
      <c r="B4" s="125"/>
      <c r="C4" s="125"/>
      <c r="D4" s="125"/>
      <c r="T4"/>
      <c r="U4"/>
      <c r="V4"/>
      <c r="W4"/>
      <c r="X4"/>
      <c r="Y4"/>
      <c r="Z4"/>
      <c r="AA4"/>
      <c r="AB4"/>
      <c r="AC4"/>
      <c r="AD4"/>
      <c r="AE4"/>
      <c r="AF4"/>
      <c r="AG4"/>
    </row>
    <row r="6" spans="1:33">
      <c r="B6" s="819" t="s">
        <v>2085</v>
      </c>
      <c r="C6" s="819"/>
    </row>
    <row r="7" spans="1:33">
      <c r="A7" s="255" t="s">
        <v>46</v>
      </c>
      <c r="B7" s="105">
        <v>2024</v>
      </c>
      <c r="C7" s="105">
        <v>2023</v>
      </c>
    </row>
    <row r="8" spans="1:33">
      <c r="A8" s="133" t="s">
        <v>366</v>
      </c>
      <c r="B8" s="416">
        <f>'2024'!C216</f>
        <v>59202877</v>
      </c>
      <c r="C8" s="416">
        <v>93254199</v>
      </c>
    </row>
    <row r="9" spans="1:33">
      <c r="A9" s="133" t="s">
        <v>367</v>
      </c>
      <c r="B9" s="416">
        <v>0</v>
      </c>
      <c r="C9" s="416">
        <v>0</v>
      </c>
    </row>
    <row r="10" spans="1:33">
      <c r="A10" s="133" t="s">
        <v>368</v>
      </c>
      <c r="B10" s="416"/>
      <c r="C10" s="416"/>
    </row>
    <row r="11" spans="1:33">
      <c r="B11" s="416">
        <v>0</v>
      </c>
      <c r="C11" s="416">
        <v>0</v>
      </c>
    </row>
    <row r="12" spans="1:33">
      <c r="A12" s="133" t="s">
        <v>161</v>
      </c>
      <c r="B12" s="254">
        <f>SUM($B$8:B11)</f>
        <v>59202877</v>
      </c>
      <c r="C12" s="254">
        <f>SUM($C$8:C11)</f>
        <v>93254199</v>
      </c>
    </row>
  </sheetData>
  <mergeCells count="1">
    <mergeCell ref="B6:C6"/>
  </mergeCells>
  <hyperlinks>
    <hyperlink ref="F1" location="BG!A1" display="BG" xr:uid="{00000000-0004-0000-1900-000000000000}"/>
  </hyperlinks>
  <pageMargins left="0.25" right="0.25" top="0.75" bottom="0.75" header="0.3" footer="0.3"/>
  <pageSetup paperSize="9" scale="76" fitToHeight="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tint="-0.499984740745262"/>
    <pageSetUpPr fitToPage="1"/>
  </sheetPr>
  <dimension ref="A1:P14"/>
  <sheetViews>
    <sheetView workbookViewId="0">
      <selection activeCell="B14" sqref="B14"/>
    </sheetView>
  </sheetViews>
  <sheetFormatPr baseColWidth="10" defaultRowHeight="15"/>
  <cols>
    <col min="1" max="1" width="51.7109375" style="133" customWidth="1"/>
    <col min="2" max="3" width="22.7109375" style="133" customWidth="1"/>
    <col min="4" max="16" width="11.5703125" style="133" customWidth="1"/>
  </cols>
  <sheetData>
    <row r="1" spans="1:7">
      <c r="G1" s="153" t="s">
        <v>18</v>
      </c>
    </row>
    <row r="5" spans="1:7">
      <c r="A5" s="125" t="s">
        <v>369</v>
      </c>
      <c r="B5" s="125"/>
      <c r="C5" s="125"/>
      <c r="D5" s="125"/>
    </row>
    <row r="6" spans="1:7" s="210" customFormat="1">
      <c r="A6" s="209"/>
      <c r="B6" s="209"/>
      <c r="C6" s="209"/>
      <c r="D6" s="209"/>
    </row>
    <row r="7" spans="1:7">
      <c r="B7" s="819" t="s">
        <v>2085</v>
      </c>
      <c r="C7" s="819"/>
    </row>
    <row r="8" spans="1:7">
      <c r="A8" s="277" t="s">
        <v>48</v>
      </c>
      <c r="B8" s="105">
        <v>2024</v>
      </c>
      <c r="C8" s="105">
        <v>2023</v>
      </c>
    </row>
    <row r="9" spans="1:7">
      <c r="A9" s="133" t="s">
        <v>370</v>
      </c>
      <c r="B9" s="369">
        <v>0</v>
      </c>
      <c r="C9" s="369">
        <v>0</v>
      </c>
    </row>
    <row r="10" spans="1:7">
      <c r="A10" s="133" t="s">
        <v>371</v>
      </c>
      <c r="B10" s="369"/>
      <c r="C10" s="369"/>
    </row>
    <row r="11" spans="1:7">
      <c r="A11" s="133" t="s">
        <v>993</v>
      </c>
      <c r="B11" s="369">
        <f>'2024'!C219</f>
        <v>781293.28920705523</v>
      </c>
      <c r="C11" s="369">
        <v>281226</v>
      </c>
    </row>
    <row r="12" spans="1:7">
      <c r="A12" s="133" t="s">
        <v>994</v>
      </c>
      <c r="B12" s="369">
        <f>'2024'!C220</f>
        <v>1594553.7107929448</v>
      </c>
      <c r="C12" s="369">
        <v>422213</v>
      </c>
    </row>
    <row r="13" spans="1:7">
      <c r="A13" s="133" t="s">
        <v>995</v>
      </c>
      <c r="B13" s="369">
        <f>'2024'!C221</f>
        <v>4612915</v>
      </c>
      <c r="C13" s="369">
        <v>84531410</v>
      </c>
    </row>
    <row r="14" spans="1:7">
      <c r="A14" s="133" t="s">
        <v>161</v>
      </c>
      <c r="B14" s="254">
        <f>SUM($B$9:B13)</f>
        <v>6988762</v>
      </c>
      <c r="C14" s="382">
        <f>SUM($C$9:C13)</f>
        <v>85234849</v>
      </c>
    </row>
  </sheetData>
  <mergeCells count="1">
    <mergeCell ref="B7:C7"/>
  </mergeCells>
  <hyperlinks>
    <hyperlink ref="G1" location="BG!A1" display="BG" xr:uid="{00000000-0004-0000-1A00-000000000000}"/>
  </hyperlinks>
  <pageMargins left="0.25" right="0.25" top="0.75" bottom="0.75" header="0.3" footer="0.3"/>
  <pageSetup paperSize="9" scale="68" fitToHeight="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tint="-0.499984740745262"/>
    <pageSetUpPr fitToPage="1"/>
  </sheetPr>
  <dimension ref="A1:M17"/>
  <sheetViews>
    <sheetView workbookViewId="0">
      <selection activeCell="B16" sqref="B16"/>
    </sheetView>
  </sheetViews>
  <sheetFormatPr baseColWidth="10" defaultRowHeight="15"/>
  <cols>
    <col min="1" max="1" width="30.28515625" style="133" bestFit="1" customWidth="1"/>
    <col min="2" max="3" width="22.7109375" style="133" customWidth="1"/>
    <col min="4" max="13" width="11.5703125" style="133" customWidth="1"/>
  </cols>
  <sheetData>
    <row r="1" spans="1:4">
      <c r="D1" s="153" t="s">
        <v>18</v>
      </c>
    </row>
    <row r="4" spans="1:4">
      <c r="A4" s="794" t="s">
        <v>372</v>
      </c>
      <c r="B4" s="794"/>
      <c r="C4" s="794"/>
      <c r="D4" s="794"/>
    </row>
    <row r="6" spans="1:4">
      <c r="B6" s="819" t="s">
        <v>2085</v>
      </c>
      <c r="C6" s="819"/>
    </row>
    <row r="7" spans="1:4">
      <c r="A7" s="825" t="s">
        <v>50</v>
      </c>
      <c r="B7" s="105">
        <v>2024</v>
      </c>
      <c r="C7" s="105">
        <v>2023</v>
      </c>
    </row>
    <row r="8" spans="1:4">
      <c r="A8" s="825"/>
      <c r="B8" s="381"/>
      <c r="C8" s="381"/>
    </row>
    <row r="9" spans="1:4" hidden="1">
      <c r="A9" s="278" t="s">
        <v>373</v>
      </c>
      <c r="B9" s="369"/>
      <c r="C9" s="369"/>
    </row>
    <row r="10" spans="1:4" hidden="1">
      <c r="A10" s="278" t="s">
        <v>374</v>
      </c>
      <c r="B10" s="369">
        <v>0</v>
      </c>
      <c r="C10" s="369">
        <v>0</v>
      </c>
    </row>
    <row r="11" spans="1:4" hidden="1">
      <c r="A11" s="278" t="s">
        <v>375</v>
      </c>
      <c r="B11" s="369">
        <v>0</v>
      </c>
      <c r="C11" s="369">
        <v>0</v>
      </c>
    </row>
    <row r="12" spans="1:4">
      <c r="A12" s="278" t="s">
        <v>896</v>
      </c>
      <c r="B12" s="369">
        <f>'2024'!C214</f>
        <v>45269312</v>
      </c>
      <c r="C12" s="369">
        <v>62133616</v>
      </c>
    </row>
    <row r="13" spans="1:4" hidden="1">
      <c r="A13" s="278" t="s">
        <v>897</v>
      </c>
      <c r="B13" s="369">
        <v>0</v>
      </c>
      <c r="C13" s="369">
        <v>0</v>
      </c>
    </row>
    <row r="14" spans="1:4">
      <c r="A14" s="278" t="s">
        <v>898</v>
      </c>
      <c r="B14" s="369">
        <f>'2024'!C215</f>
        <v>63597472</v>
      </c>
      <c r="C14" s="369">
        <v>14448703</v>
      </c>
    </row>
    <row r="15" spans="1:4">
      <c r="A15" s="278" t="s">
        <v>2063</v>
      </c>
      <c r="B15" s="369">
        <f>'2024'!C211</f>
        <v>3250256153</v>
      </c>
      <c r="C15" s="369">
        <v>3593887387</v>
      </c>
    </row>
    <row r="16" spans="1:4">
      <c r="A16" s="133" t="s">
        <v>914</v>
      </c>
      <c r="B16" s="369"/>
      <c r="C16" s="369"/>
    </row>
    <row r="17" spans="1:3">
      <c r="A17" s="133" t="s">
        <v>161</v>
      </c>
      <c r="B17" s="382">
        <f>SUM($B$9:B16)</f>
        <v>3359122937</v>
      </c>
      <c r="C17" s="382">
        <f>SUM($C$9:C16)</f>
        <v>3670469706</v>
      </c>
    </row>
  </sheetData>
  <mergeCells count="3">
    <mergeCell ref="A4:D4"/>
    <mergeCell ref="B6:C6"/>
    <mergeCell ref="A7:A8"/>
  </mergeCells>
  <hyperlinks>
    <hyperlink ref="D1" location="BG!A1" display="BG" xr:uid="{00000000-0004-0000-1B00-000000000000}"/>
  </hyperlinks>
  <pageMargins left="0.25" right="0.25"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5" tint="-0.499984740745262"/>
    <pageSetUpPr fitToPage="1"/>
  </sheetPr>
  <dimension ref="A1:G37"/>
  <sheetViews>
    <sheetView showGridLines="0" workbookViewId="0">
      <selection activeCell="D1" sqref="D1"/>
    </sheetView>
  </sheetViews>
  <sheetFormatPr baseColWidth="10" defaultRowHeight="15"/>
  <cols>
    <col min="1" max="1" width="51.140625" customWidth="1"/>
    <col min="2" max="2" width="17.85546875" customWidth="1"/>
    <col min="3" max="3" width="14.85546875" bestFit="1" customWidth="1"/>
    <col min="4" max="4" width="3.28515625" bestFit="1" customWidth="1"/>
    <col min="5" max="5" width="51.7109375" bestFit="1" customWidth="1"/>
    <col min="6" max="7" width="17.140625" customWidth="1"/>
  </cols>
  <sheetData>
    <row r="1" spans="1:7">
      <c r="A1">
        <f>'Nota 18'!A1</f>
        <v>0</v>
      </c>
      <c r="D1" s="124" t="s">
        <v>18</v>
      </c>
    </row>
    <row r="3" spans="1:7">
      <c r="A3" s="125" t="s">
        <v>376</v>
      </c>
      <c r="B3" s="125"/>
      <c r="C3" s="125"/>
    </row>
    <row r="4" spans="1:7">
      <c r="A4" s="826" t="s">
        <v>2085</v>
      </c>
      <c r="B4" s="826"/>
    </row>
    <row r="5" spans="1:7">
      <c r="A5" s="150"/>
      <c r="E5" s="150"/>
      <c r="F5" s="194"/>
      <c r="G5" s="194"/>
    </row>
    <row r="6" spans="1:7">
      <c r="A6" s="279" t="s">
        <v>270</v>
      </c>
      <c r="B6" s="211">
        <v>2024</v>
      </c>
      <c r="C6" s="211">
        <v>2023</v>
      </c>
      <c r="E6" s="279" t="s">
        <v>341</v>
      </c>
      <c r="F6" s="211">
        <f>+B6</f>
        <v>2024</v>
      </c>
      <c r="G6" s="211">
        <f>+C6</f>
        <v>2023</v>
      </c>
    </row>
    <row r="7" spans="1:7">
      <c r="A7" s="280" t="s">
        <v>380</v>
      </c>
      <c r="B7" s="198">
        <f>'2024'!C210</f>
        <v>754325236</v>
      </c>
      <c r="C7" s="198">
        <v>46993465</v>
      </c>
      <c r="E7" s="150" t="s">
        <v>377</v>
      </c>
      <c r="F7" s="376"/>
      <c r="G7" s="383">
        <v>0</v>
      </c>
    </row>
    <row r="8" spans="1:7">
      <c r="A8" s="262" t="s">
        <v>996</v>
      </c>
      <c r="B8" s="198">
        <f>'2024'!C208</f>
        <v>71904652</v>
      </c>
      <c r="C8" s="198">
        <v>71904652</v>
      </c>
      <c r="E8" s="150" t="s">
        <v>378</v>
      </c>
      <c r="F8" s="376"/>
      <c r="G8" s="383">
        <v>0</v>
      </c>
    </row>
    <row r="9" spans="1:7">
      <c r="A9" s="262" t="s">
        <v>997</v>
      </c>
      <c r="B9" s="198">
        <f>'2024'!C209</f>
        <v>121234882</v>
      </c>
      <c r="C9" s="198">
        <v>15980262</v>
      </c>
      <c r="E9" s="150" t="s">
        <v>379</v>
      </c>
      <c r="F9" s="376"/>
      <c r="G9" s="383">
        <v>0</v>
      </c>
    </row>
    <row r="10" spans="1:7">
      <c r="A10" s="262" t="s">
        <v>1004</v>
      </c>
      <c r="B10" s="198">
        <f>'2024'!C231</f>
        <v>641124213</v>
      </c>
      <c r="C10" s="198">
        <v>384674526</v>
      </c>
      <c r="E10" s="280" t="s">
        <v>381</v>
      </c>
      <c r="F10" s="376"/>
      <c r="G10" s="383">
        <v>0</v>
      </c>
    </row>
    <row r="11" spans="1:7" ht="15.75" thickBot="1">
      <c r="A11" s="282" t="s">
        <v>283</v>
      </c>
      <c r="B11" s="283">
        <f>SUM(B7:B10)</f>
        <v>1588588983</v>
      </c>
      <c r="C11" s="283">
        <f>SUM(C7:C10)</f>
        <v>519552905</v>
      </c>
      <c r="E11" s="150" t="s">
        <v>382</v>
      </c>
      <c r="F11" s="376"/>
      <c r="G11" s="383">
        <v>0</v>
      </c>
    </row>
    <row r="12" spans="1:7" ht="15.75" thickTop="1">
      <c r="A12" s="282"/>
      <c r="B12" s="284"/>
      <c r="C12" s="285"/>
      <c r="E12" s="150" t="s">
        <v>383</v>
      </c>
      <c r="F12" s="376"/>
      <c r="G12" s="383">
        <v>0</v>
      </c>
    </row>
    <row r="13" spans="1:7">
      <c r="E13" s="150" t="s">
        <v>1001</v>
      </c>
      <c r="F13" s="376"/>
      <c r="G13" s="383">
        <v>0</v>
      </c>
    </row>
    <row r="14" spans="1:7">
      <c r="A14" s="210"/>
      <c r="B14" s="210"/>
      <c r="C14" s="210"/>
      <c r="E14" s="262" t="s">
        <v>1002</v>
      </c>
      <c r="F14" s="375">
        <f>-'2024'!C245</f>
        <v>0</v>
      </c>
      <c r="G14" s="375">
        <v>352618317</v>
      </c>
    </row>
    <row r="15" spans="1:7" ht="15.75" thickBot="1">
      <c r="A15" s="210"/>
      <c r="B15" s="210"/>
      <c r="C15" s="210"/>
      <c r="E15" s="282" t="s">
        <v>283</v>
      </c>
      <c r="F15" s="384">
        <f>SUM(F7:F14)</f>
        <v>0</v>
      </c>
      <c r="G15" s="385">
        <f>SUM(G7:G14)</f>
        <v>352618317</v>
      </c>
    </row>
    <row r="16" spans="1:7" ht="15.75" thickTop="1">
      <c r="E16" s="280"/>
      <c r="F16" s="198"/>
      <c r="G16" s="281"/>
    </row>
    <row r="17" spans="5:7">
      <c r="E17" s="280"/>
      <c r="F17" s="198"/>
      <c r="G17" s="281"/>
    </row>
    <row r="18" spans="5:7">
      <c r="E18" s="280"/>
      <c r="F18" s="198"/>
      <c r="G18" s="281"/>
    </row>
    <row r="19" spans="5:7">
      <c r="E19" s="280"/>
      <c r="F19" s="198"/>
      <c r="G19" s="281"/>
    </row>
    <row r="20" spans="5:7">
      <c r="E20" s="280"/>
      <c r="F20" s="198"/>
      <c r="G20" s="281"/>
    </row>
    <row r="21" spans="5:7">
      <c r="E21" s="280"/>
      <c r="F21" s="198"/>
      <c r="G21" s="281"/>
    </row>
    <row r="22" spans="5:7">
      <c r="E22" s="280"/>
      <c r="F22" s="198"/>
      <c r="G22" s="281"/>
    </row>
    <row r="23" spans="5:7">
      <c r="E23" s="280"/>
      <c r="F23" s="198"/>
      <c r="G23" s="281"/>
    </row>
    <row r="24" spans="5:7">
      <c r="E24" s="280"/>
      <c r="F24" s="198"/>
      <c r="G24" s="281"/>
    </row>
    <row r="25" spans="5:7">
      <c r="E25" s="280"/>
      <c r="F25" s="198"/>
      <c r="G25" s="281"/>
    </row>
    <row r="26" spans="5:7">
      <c r="E26" s="280"/>
      <c r="F26" s="198"/>
      <c r="G26" s="281"/>
    </row>
    <row r="27" spans="5:7">
      <c r="E27" s="280"/>
      <c r="F27" s="198"/>
      <c r="G27" s="281"/>
    </row>
    <row r="28" spans="5:7">
      <c r="E28" s="280"/>
      <c r="F28" s="198"/>
      <c r="G28" s="281"/>
    </row>
    <row r="29" spans="5:7">
      <c r="E29" s="280"/>
      <c r="F29" s="198"/>
      <c r="G29" s="281"/>
    </row>
    <row r="30" spans="5:7">
      <c r="E30" s="280"/>
      <c r="F30" s="198"/>
      <c r="G30" s="281"/>
    </row>
    <row r="34" spans="1:7">
      <c r="E34" s="210"/>
      <c r="F34" s="210"/>
      <c r="G34" s="210"/>
    </row>
    <row r="35" spans="1:7">
      <c r="E35" s="210"/>
      <c r="F35" s="210"/>
      <c r="G35" s="210"/>
    </row>
    <row r="36" spans="1:7" s="210" customFormat="1">
      <c r="A36"/>
      <c r="B36"/>
      <c r="C36"/>
      <c r="E36" s="282"/>
      <c r="F36" s="150"/>
      <c r="G36" s="193"/>
    </row>
    <row r="37" spans="1:7" s="210" customFormat="1">
      <c r="A37"/>
      <c r="B37"/>
      <c r="C37"/>
      <c r="E37"/>
      <c r="F37"/>
      <c r="G37"/>
    </row>
  </sheetData>
  <mergeCells count="1">
    <mergeCell ref="A4:B4"/>
  </mergeCells>
  <hyperlinks>
    <hyperlink ref="D1" location="BG!A1" display="BG" xr:uid="{00000000-0004-0000-1C00-000000000000}"/>
  </hyperlinks>
  <pageMargins left="0.25" right="0.25" top="0.75" bottom="0.75" header="0.3" footer="0.3"/>
  <pageSetup scale="58" fitToHeight="0" orientation="portrait" r:id="rId1"/>
  <ignoredErrors>
    <ignoredError sqref="F15:G1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F48"/>
  <sheetViews>
    <sheetView showGridLines="0" topLeftCell="A22" workbookViewId="0">
      <selection activeCell="B14" sqref="B14"/>
    </sheetView>
  </sheetViews>
  <sheetFormatPr baseColWidth="10" defaultColWidth="11.28515625" defaultRowHeight="12.75"/>
  <cols>
    <col min="1" max="1" width="61.140625" style="1" customWidth="1"/>
    <col min="2" max="2" width="9.28515625" style="37" customWidth="1"/>
    <col min="3" max="3" width="21.5703125" style="77" customWidth="1"/>
    <col min="4" max="4" width="21.42578125" style="77" customWidth="1"/>
    <col min="5" max="5" width="11.28515625" style="1"/>
    <col min="6" max="6" width="13.28515625" style="1" bestFit="1" customWidth="1"/>
    <col min="7" max="16384" width="11.28515625" style="1"/>
  </cols>
  <sheetData>
    <row r="1" spans="1:6" ht="15">
      <c r="A1" s="716"/>
      <c r="B1" s="27" t="s">
        <v>113</v>
      </c>
      <c r="D1" s="77" t="str">
        <f>[1]ER!A4</f>
        <v xml:space="preserve"> </v>
      </c>
    </row>
    <row r="2" spans="1:6">
      <c r="A2" s="716"/>
    </row>
    <row r="3" spans="1:6">
      <c r="A3" s="716"/>
    </row>
    <row r="4" spans="1:6">
      <c r="A4" s="1" t="s">
        <v>139</v>
      </c>
    </row>
    <row r="6" spans="1:6">
      <c r="A6" s="36"/>
      <c r="B6" s="52"/>
      <c r="C6" s="78"/>
    </row>
    <row r="7" spans="1:6">
      <c r="A7" s="711" t="s">
        <v>140</v>
      </c>
      <c r="B7" s="711"/>
      <c r="C7" s="711"/>
      <c r="D7" s="711"/>
    </row>
    <row r="8" spans="1:6">
      <c r="A8" s="711" t="s">
        <v>2545</v>
      </c>
      <c r="B8" s="711"/>
      <c r="C8" s="711"/>
      <c r="D8" s="711"/>
    </row>
    <row r="9" spans="1:6">
      <c r="A9" s="717" t="s">
        <v>141</v>
      </c>
      <c r="B9" s="717"/>
      <c r="C9" s="717"/>
      <c r="D9" s="717"/>
    </row>
    <row r="10" spans="1:6">
      <c r="A10" s="717" t="str">
        <f>+BG!A9</f>
        <v>(En guaraníes)</v>
      </c>
      <c r="B10" s="717"/>
      <c r="C10" s="717"/>
      <c r="D10" s="717"/>
    </row>
    <row r="11" spans="1:6">
      <c r="A11" s="79"/>
      <c r="B11" s="80"/>
      <c r="C11" s="81"/>
    </row>
    <row r="12" spans="1:6" ht="15">
      <c r="A12" s="82"/>
      <c r="B12" s="83" t="s">
        <v>116</v>
      </c>
      <c r="C12" s="84">
        <f>+BG!F11</f>
        <v>2024</v>
      </c>
      <c r="D12" s="84">
        <f>+BG!G11</f>
        <v>2023</v>
      </c>
    </row>
    <row r="13" spans="1:6" ht="15">
      <c r="A13" t="s">
        <v>71</v>
      </c>
      <c r="B13" s="39">
        <v>25</v>
      </c>
      <c r="C13" s="535">
        <f>'Nota 25'!B26</f>
        <v>7317910678</v>
      </c>
      <c r="D13" s="535">
        <f>'Nota 25'!C26</f>
        <v>7033615079</v>
      </c>
      <c r="F13" s="408"/>
    </row>
    <row r="14" spans="1:6" ht="15">
      <c r="A14" t="s">
        <v>73</v>
      </c>
      <c r="B14" s="39">
        <v>26</v>
      </c>
      <c r="C14" s="535">
        <f>-'Nota 26'!B21</f>
        <v>-3757065204</v>
      </c>
      <c r="D14" s="535">
        <f>-'Nota 26'!C21</f>
        <v>-3184864209</v>
      </c>
      <c r="F14" s="408"/>
    </row>
    <row r="15" spans="1:6">
      <c r="A15" s="36" t="s">
        <v>142</v>
      </c>
      <c r="B15" s="52"/>
      <c r="C15" s="94">
        <f>C13+C14</f>
        <v>3560845474</v>
      </c>
      <c r="D15" s="94">
        <f>D13+D14</f>
        <v>3848750870</v>
      </c>
      <c r="F15" s="408"/>
    </row>
    <row r="16" spans="1:6" ht="15">
      <c r="A16" t="s">
        <v>75</v>
      </c>
      <c r="B16" s="39">
        <v>27</v>
      </c>
      <c r="C16" s="535">
        <f>-'Nota 27'!B50</f>
        <v>-932645102</v>
      </c>
      <c r="D16" s="535">
        <f>-'Nota 27'!F50</f>
        <v>-573578865</v>
      </c>
      <c r="F16" s="408"/>
    </row>
    <row r="17" spans="1:6" ht="15">
      <c r="A17" t="s">
        <v>143</v>
      </c>
      <c r="B17" s="39">
        <v>27</v>
      </c>
      <c r="C17" s="535">
        <f>-'Nota 27'!C50</f>
        <v>-1419593795</v>
      </c>
      <c r="D17" s="535">
        <f>-'Nota 27'!G50</f>
        <v>-1393156974</v>
      </c>
      <c r="F17" s="408"/>
    </row>
    <row r="18" spans="1:6" ht="15">
      <c r="A18" t="s">
        <v>900</v>
      </c>
      <c r="B18" s="39">
        <v>27</v>
      </c>
      <c r="C18" s="535">
        <f>-'Nota 27'!D50</f>
        <v>-486194800</v>
      </c>
      <c r="D18" s="535">
        <f>-'Nota 27'!H50</f>
        <v>-262086566</v>
      </c>
      <c r="F18" s="408"/>
    </row>
    <row r="19" spans="1:6" ht="15">
      <c r="A19" t="s">
        <v>144</v>
      </c>
      <c r="B19" s="39">
        <v>28</v>
      </c>
      <c r="C19" s="536">
        <f>'Nota 28'!B16-'Nota 28'!F16</f>
        <v>-233038933</v>
      </c>
      <c r="D19" s="536">
        <f>'Nota 28'!C16-'Nota 28'!G16</f>
        <v>-660681919</v>
      </c>
      <c r="F19" s="408"/>
    </row>
    <row r="20" spans="1:6">
      <c r="A20" s="36" t="s">
        <v>145</v>
      </c>
      <c r="B20" s="52"/>
      <c r="C20" s="94">
        <f>SUM(C15:C19)</f>
        <v>489372844</v>
      </c>
      <c r="D20" s="94">
        <f>SUM(D15:D19)</f>
        <v>959246546</v>
      </c>
      <c r="F20" s="408"/>
    </row>
    <row r="21" spans="1:6" ht="15">
      <c r="A21" t="s">
        <v>80</v>
      </c>
      <c r="B21" s="39">
        <v>29</v>
      </c>
      <c r="C21" s="536">
        <f>'Nota 29'!B14</f>
        <v>9263045</v>
      </c>
      <c r="D21" s="536">
        <f>'Nota 29'!C14</f>
        <v>1455525</v>
      </c>
      <c r="E21" s="408"/>
      <c r="F21" s="684"/>
    </row>
    <row r="22" spans="1:6" ht="15">
      <c r="A22" t="s">
        <v>146</v>
      </c>
      <c r="B22" s="39">
        <v>29</v>
      </c>
      <c r="C22" s="536">
        <f>-'Nota 29'!F14</f>
        <v>-213222798</v>
      </c>
      <c r="D22" s="536">
        <f>-'Nota 29'!G14</f>
        <v>-369637092</v>
      </c>
      <c r="F22" s="408"/>
    </row>
    <row r="23" spans="1:6">
      <c r="A23" s="85" t="s">
        <v>135</v>
      </c>
      <c r="C23" s="81">
        <f>SUM(C21:C22)+C20</f>
        <v>285413091</v>
      </c>
      <c r="D23" s="81">
        <f>SUM(D21:D22)+D20</f>
        <v>591064979</v>
      </c>
      <c r="F23" s="408"/>
    </row>
    <row r="24" spans="1:6" ht="15">
      <c r="A24" t="s">
        <v>83</v>
      </c>
      <c r="B24" s="39">
        <v>30</v>
      </c>
      <c r="C24" s="81">
        <f>'Nota 30'!B16</f>
        <v>0</v>
      </c>
      <c r="D24" s="81">
        <f>'Nota 30'!C16</f>
        <v>0</v>
      </c>
    </row>
    <row r="25" spans="1:6" ht="25.5">
      <c r="A25" s="86" t="s">
        <v>147</v>
      </c>
      <c r="B25" s="52"/>
      <c r="C25" s="87">
        <f>C23+C24</f>
        <v>285413091</v>
      </c>
      <c r="D25" s="87">
        <f>D23+D24</f>
        <v>591064979</v>
      </c>
      <c r="F25" s="408"/>
    </row>
    <row r="26" spans="1:6" ht="15">
      <c r="A26" t="s">
        <v>85</v>
      </c>
      <c r="B26" s="39">
        <v>31</v>
      </c>
      <c r="C26" s="81">
        <f>'Nota 31'!B16</f>
        <v>0</v>
      </c>
      <c r="D26" s="81">
        <f>'Nota 31'!C16</f>
        <v>0</v>
      </c>
    </row>
    <row r="27" spans="1:6">
      <c r="A27" s="86" t="s">
        <v>148</v>
      </c>
      <c r="B27" s="52"/>
      <c r="C27" s="87">
        <f>+C25</f>
        <v>285413091</v>
      </c>
      <c r="D27" s="87">
        <f>+D25</f>
        <v>591064979</v>
      </c>
      <c r="F27" s="408"/>
    </row>
    <row r="28" spans="1:6" ht="15">
      <c r="A28" s="1" t="s">
        <v>87</v>
      </c>
      <c r="B28" s="27">
        <v>32</v>
      </c>
      <c r="C28" s="81">
        <f>-'Nota 32'!B11</f>
        <v>0</v>
      </c>
      <c r="D28" s="81">
        <f>-'Nota 32'!C11</f>
        <v>0</v>
      </c>
      <c r="E28" s="408"/>
    </row>
    <row r="29" spans="1:6">
      <c r="A29" s="36" t="s">
        <v>149</v>
      </c>
      <c r="B29" s="52"/>
      <c r="C29" s="87">
        <f>C27+C28</f>
        <v>285413091</v>
      </c>
      <c r="D29" s="87">
        <f>D27+D28</f>
        <v>591064979</v>
      </c>
    </row>
    <row r="30" spans="1:6" ht="15">
      <c r="A30" t="s">
        <v>89</v>
      </c>
      <c r="B30" s="39">
        <v>33</v>
      </c>
      <c r="C30" s="87">
        <f>'Nota 33'!B15</f>
        <v>0</v>
      </c>
      <c r="D30" s="87">
        <f>'Nota 33'!C15</f>
        <v>0</v>
      </c>
    </row>
    <row r="31" spans="1:6" ht="15">
      <c r="A31" t="s">
        <v>91</v>
      </c>
      <c r="B31" s="39">
        <v>34</v>
      </c>
      <c r="C31" s="81">
        <f>'Nota 34'!B12</f>
        <v>0</v>
      </c>
      <c r="D31" s="81">
        <f>'Nota 34'!C12</f>
        <v>0</v>
      </c>
    </row>
    <row r="32" spans="1:6" ht="15">
      <c r="A32" s="88" t="s">
        <v>150</v>
      </c>
      <c r="B32"/>
      <c r="C32" s="87">
        <f>C29+C30+C31</f>
        <v>285413091</v>
      </c>
      <c r="D32" s="87">
        <f>D29+D30+D31</f>
        <v>591064979</v>
      </c>
    </row>
    <row r="33" spans="1:4" ht="15">
      <c r="A33" s="88" t="s">
        <v>95</v>
      </c>
      <c r="B33" s="39">
        <v>35</v>
      </c>
      <c r="C33" s="81">
        <f>'Nota 35'!B10</f>
        <v>0</v>
      </c>
      <c r="D33" s="81">
        <f>'Nota 35'!C10</f>
        <v>0</v>
      </c>
    </row>
    <row r="35" spans="1:4">
      <c r="A35" s="36"/>
      <c r="B35" s="52"/>
      <c r="C35" s="89">
        <f>+C32+'2024'!C572</f>
        <v>285413091</v>
      </c>
      <c r="D35" s="89">
        <f>+D32+'2023'!C586</f>
        <v>591064979</v>
      </c>
    </row>
    <row r="36" spans="1:4">
      <c r="A36" s="1" t="s">
        <v>138</v>
      </c>
    </row>
    <row r="37" spans="1:4">
      <c r="C37" s="77">
        <f>+C35-'2024'!C275</f>
        <v>0</v>
      </c>
    </row>
    <row r="42" spans="1:4">
      <c r="A42" s="90"/>
      <c r="B42" s="91"/>
      <c r="C42" s="715"/>
      <c r="D42" s="715"/>
    </row>
    <row r="43" spans="1:4">
      <c r="A43" s="92"/>
      <c r="B43" s="93"/>
      <c r="D43" s="94"/>
    </row>
    <row r="48" spans="1:4">
      <c r="A48" s="95"/>
      <c r="C48" s="715"/>
      <c r="D48" s="715"/>
    </row>
  </sheetData>
  <mergeCells count="7">
    <mergeCell ref="C48:D48"/>
    <mergeCell ref="A1:A3"/>
    <mergeCell ref="A7:D7"/>
    <mergeCell ref="A8:D8"/>
    <mergeCell ref="A9:D9"/>
    <mergeCell ref="A10:D10"/>
    <mergeCell ref="C42:D42"/>
  </mergeCells>
  <hyperlinks>
    <hyperlink ref="B13" location="'Nota 25'!A1" display="'Nota 25'!A1" xr:uid="{00000000-0004-0000-0200-000000000000}"/>
    <hyperlink ref="B14" location="'Nota 26'!A1" display="'Nota 26'!A1" xr:uid="{00000000-0004-0000-0200-000001000000}"/>
    <hyperlink ref="B16" location="'Nota 27'!A1" display="'Nota 27'!A1" xr:uid="{00000000-0004-0000-0200-000002000000}"/>
    <hyperlink ref="B17" location="'Nota 27'!A1" display="'Nota 27'!A1" xr:uid="{00000000-0004-0000-0200-000003000000}"/>
    <hyperlink ref="B19" location="'Nota 28'!A1" display="'Nota 28'!A1" xr:uid="{00000000-0004-0000-0200-000004000000}"/>
    <hyperlink ref="B22" location="'Nota 29'!A1" display="'Nota 29'!A1" xr:uid="{00000000-0004-0000-0200-000005000000}"/>
    <hyperlink ref="B21" location="'Nota 29'!A1" display="'Nota 29'!A1" xr:uid="{00000000-0004-0000-0200-000006000000}"/>
    <hyperlink ref="B24" location="'Nota 30'!A1" display="'Nota 30'!A1" xr:uid="{00000000-0004-0000-0200-000007000000}"/>
    <hyperlink ref="B26" location="'Nota 31'!A1" display="'Nota 31'!A1" xr:uid="{00000000-0004-0000-0200-000008000000}"/>
    <hyperlink ref="B28" location="'Nota 32'!A1" display="'Nota 32'!A1" xr:uid="{00000000-0004-0000-0200-000009000000}"/>
    <hyperlink ref="B30" location="'Nota 33'!A1" display="'Nota 33'!A1" xr:uid="{00000000-0004-0000-0200-00000A000000}"/>
    <hyperlink ref="B31" location="'Nota 34'!A1" display="'Nota 34'!A1" xr:uid="{00000000-0004-0000-0200-00000B000000}"/>
    <hyperlink ref="B33" location="'Nota 35'!A1" display="'Nota 35'!A1" xr:uid="{00000000-0004-0000-0200-00000C000000}"/>
    <hyperlink ref="B1" location="Indice!A1" display="Indice" xr:uid="{00000000-0004-0000-0200-00000D000000}"/>
  </hyperlinks>
  <pageMargins left="0.25" right="0.25" top="0.75" bottom="0.75" header="0.3" footer="0.3"/>
  <pageSetup paperSize="9" scale="8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5" tint="-0.499984740745262"/>
    <pageSetUpPr fitToPage="1"/>
  </sheetPr>
  <dimension ref="A1:L11"/>
  <sheetViews>
    <sheetView showGridLines="0" workbookViewId="0">
      <selection activeCell="D1" sqref="D1"/>
    </sheetView>
  </sheetViews>
  <sheetFormatPr baseColWidth="10" defaultRowHeight="15"/>
  <cols>
    <col min="1" max="1" width="38.28515625" customWidth="1"/>
    <col min="2" max="2" width="19.7109375" customWidth="1"/>
    <col min="3" max="3" width="17.85546875" customWidth="1"/>
    <col min="4" max="4" width="15.28515625" customWidth="1"/>
    <col min="5" max="5" width="10.7109375" customWidth="1"/>
    <col min="6" max="6" width="33.7109375" customWidth="1"/>
    <col min="7" max="7" width="1.140625" customWidth="1"/>
    <col min="9" max="9" width="1.140625" customWidth="1"/>
    <col min="10" max="10" width="18.140625" customWidth="1"/>
    <col min="11" max="11" width="1.140625" customWidth="1"/>
    <col min="12" max="12" width="13.140625" customWidth="1"/>
  </cols>
  <sheetData>
    <row r="1" spans="1:12">
      <c r="D1" s="124" t="s">
        <v>18</v>
      </c>
    </row>
    <row r="4" spans="1:12">
      <c r="A4" s="827" t="s">
        <v>384</v>
      </c>
      <c r="B4" s="827"/>
      <c r="C4" s="827"/>
      <c r="D4" s="827"/>
      <c r="E4" s="161"/>
      <c r="F4" s="161"/>
      <c r="G4" s="161"/>
      <c r="H4" s="161"/>
      <c r="I4" s="161"/>
      <c r="J4" s="161"/>
      <c r="K4" s="161"/>
      <c r="L4" s="161"/>
    </row>
    <row r="6" spans="1:12">
      <c r="A6" t="s">
        <v>385</v>
      </c>
      <c r="B6" s="211">
        <v>2024</v>
      </c>
      <c r="C6" s="211">
        <v>2023</v>
      </c>
    </row>
    <row r="7" spans="1:12">
      <c r="A7" t="s">
        <v>386</v>
      </c>
      <c r="B7" s="375">
        <v>15000000000</v>
      </c>
      <c r="C7" s="375">
        <v>15000000000</v>
      </c>
    </row>
    <row r="8" spans="1:12">
      <c r="A8" t="s">
        <v>387</v>
      </c>
      <c r="B8" s="375">
        <v>15000000000</v>
      </c>
      <c r="C8" s="375">
        <v>15000000000</v>
      </c>
    </row>
    <row r="9" spans="1:12">
      <c r="A9" t="s">
        <v>388</v>
      </c>
      <c r="B9" s="375">
        <v>3000</v>
      </c>
      <c r="C9" s="375">
        <v>3000</v>
      </c>
    </row>
    <row r="10" spans="1:12">
      <c r="A10" s="273" t="s">
        <v>389</v>
      </c>
      <c r="B10" s="386">
        <v>5000000</v>
      </c>
      <c r="C10" s="386">
        <v>5000000</v>
      </c>
    </row>
    <row r="11" spans="1:12">
      <c r="A11" t="s">
        <v>161</v>
      </c>
      <c r="B11" s="375">
        <f>+B8</f>
        <v>15000000000</v>
      </c>
      <c r="C11" s="375">
        <f>+C8</f>
        <v>15000000000</v>
      </c>
    </row>
  </sheetData>
  <mergeCells count="1">
    <mergeCell ref="A4:D4"/>
  </mergeCells>
  <hyperlinks>
    <hyperlink ref="D1" location="BG!A1" display="BG" xr:uid="{00000000-0004-0000-1D00-000000000000}"/>
  </hyperlinks>
  <pageMargins left="0.25" right="0.25" top="0.75" bottom="0.75" header="0.3" footer="0.3"/>
  <pageSetup fitToHeight="0"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5" tint="-0.499984740745262"/>
    <pageSetUpPr fitToPage="1"/>
  </sheetPr>
  <dimension ref="A1:O28"/>
  <sheetViews>
    <sheetView topLeftCell="A19" workbookViewId="0">
      <selection activeCell="B20" sqref="B20"/>
    </sheetView>
  </sheetViews>
  <sheetFormatPr baseColWidth="10" defaultRowHeight="15"/>
  <cols>
    <col min="1" max="1" width="24.85546875" style="133" customWidth="1"/>
    <col min="2" max="2" width="18.7109375" style="133" customWidth="1"/>
    <col min="3" max="3" width="16.7109375" style="133" customWidth="1"/>
    <col min="4" max="8" width="11.5703125" style="133" customWidth="1"/>
    <col min="9" max="9" width="3.5703125" style="133" customWidth="1"/>
    <col min="10" max="15" width="11.5703125" style="133" customWidth="1"/>
  </cols>
  <sheetData>
    <row r="1" spans="1:13">
      <c r="F1" s="153" t="s">
        <v>18</v>
      </c>
    </row>
    <row r="3" spans="1:13">
      <c r="J3" s="210"/>
      <c r="K3" s="210"/>
    </row>
    <row r="4" spans="1:13">
      <c r="A4" s="794" t="s">
        <v>390</v>
      </c>
      <c r="B4" s="794"/>
      <c r="C4" s="794"/>
      <c r="D4" s="794"/>
      <c r="E4" s="794"/>
      <c r="F4" s="794"/>
      <c r="G4" s="286"/>
      <c r="H4" s="286"/>
      <c r="I4" s="286"/>
      <c r="J4" s="210"/>
      <c r="K4" s="210"/>
      <c r="L4" s="286"/>
      <c r="M4" s="286"/>
    </row>
    <row r="5" spans="1:13">
      <c r="J5" s="210"/>
      <c r="K5" s="210"/>
    </row>
    <row r="6" spans="1:13">
      <c r="B6" s="819" t="s">
        <v>2085</v>
      </c>
      <c r="C6" s="819"/>
    </row>
    <row r="7" spans="1:13">
      <c r="B7" s="211">
        <v>2024</v>
      </c>
      <c r="C7" s="211">
        <v>2023</v>
      </c>
    </row>
    <row r="8" spans="1:13">
      <c r="A8" s="287" t="s">
        <v>391</v>
      </c>
      <c r="B8" s="387">
        <f>'2024'!C264</f>
        <v>1815870408</v>
      </c>
      <c r="C8" s="387">
        <v>1815870408</v>
      </c>
    </row>
    <row r="9" spans="1:13">
      <c r="A9" s="223"/>
    </row>
    <row r="10" spans="1:13" ht="18.600000000000001" customHeight="1">
      <c r="A10" s="223"/>
    </row>
    <row r="11" spans="1:13" ht="21.6" customHeight="1">
      <c r="A11" s="223"/>
    </row>
    <row r="12" spans="1:13" ht="21.6" customHeight="1">
      <c r="A12" s="223"/>
    </row>
    <row r="13" spans="1:13">
      <c r="A13" s="287" t="s">
        <v>392</v>
      </c>
      <c r="B13" s="387">
        <f>'2024'!C263</f>
        <v>1291637728</v>
      </c>
      <c r="C13" s="387">
        <v>1291637728</v>
      </c>
    </row>
    <row r="14" spans="1:13">
      <c r="A14" s="223"/>
    </row>
    <row r="15" spans="1:13" ht="15" customHeight="1">
      <c r="A15" s="223"/>
    </row>
    <row r="16" spans="1:13">
      <c r="A16" s="223"/>
    </row>
    <row r="17" spans="1:3">
      <c r="A17" s="223"/>
    </row>
    <row r="18" spans="1:3">
      <c r="A18" s="287" t="s">
        <v>918</v>
      </c>
      <c r="B18" s="387">
        <v>0</v>
      </c>
      <c r="C18" s="387">
        <v>0</v>
      </c>
    </row>
    <row r="19" spans="1:3">
      <c r="A19" s="133" t="s">
        <v>1005</v>
      </c>
      <c r="B19" s="416">
        <f>'2024'!C265</f>
        <v>1252221963</v>
      </c>
      <c r="C19" s="416">
        <v>1252221963</v>
      </c>
    </row>
    <row r="20" spans="1:3">
      <c r="A20" s="133" t="s">
        <v>1006</v>
      </c>
      <c r="B20" s="416">
        <f>-'2024'!C266</f>
        <v>0</v>
      </c>
      <c r="C20" s="416">
        <v>0</v>
      </c>
    </row>
    <row r="25" spans="1:3" ht="19.149999999999999" customHeight="1">
      <c r="A25" s="287" t="s">
        <v>919</v>
      </c>
      <c r="B25" s="387">
        <v>0</v>
      </c>
      <c r="C25" s="387">
        <v>0</v>
      </c>
    </row>
    <row r="26" spans="1:3">
      <c r="A26" s="223"/>
    </row>
    <row r="27" spans="1:3">
      <c r="A27" s="223"/>
    </row>
    <row r="28" spans="1:3">
      <c r="A28" s="223"/>
    </row>
  </sheetData>
  <mergeCells count="2">
    <mergeCell ref="A4:F4"/>
    <mergeCell ref="B6:C6"/>
  </mergeCells>
  <hyperlinks>
    <hyperlink ref="F1" location="BG!A1" display="BG" xr:uid="{00000000-0004-0000-1E00-000000000000}"/>
  </hyperlinks>
  <pageMargins left="0.25" right="0.25" top="0.75" bottom="0.75" header="0.3" footer="0.3"/>
  <pageSetup scale="78" fitToHeight="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5" tint="-0.499984740745262"/>
    <pageSetUpPr fitToPage="1"/>
  </sheetPr>
  <dimension ref="A1:Y9"/>
  <sheetViews>
    <sheetView workbookViewId="0">
      <selection activeCell="C8" sqref="C8"/>
    </sheetView>
  </sheetViews>
  <sheetFormatPr baseColWidth="10" defaultRowHeight="15"/>
  <cols>
    <col min="1" max="1" width="34.28515625" style="210" customWidth="1"/>
    <col min="2" max="3" width="19" style="210" customWidth="1"/>
    <col min="4" max="25" width="11.5703125" style="210" customWidth="1"/>
  </cols>
  <sheetData>
    <row r="1" spans="1:6">
      <c r="F1" s="157" t="s">
        <v>18</v>
      </c>
    </row>
    <row r="4" spans="1:6">
      <c r="A4" s="125" t="s">
        <v>920</v>
      </c>
      <c r="B4" s="125"/>
      <c r="C4" s="125"/>
      <c r="D4" s="125"/>
      <c r="E4" s="161"/>
      <c r="F4" s="288"/>
    </row>
    <row r="6" spans="1:6">
      <c r="B6" s="819" t="s">
        <v>2085</v>
      </c>
      <c r="C6" s="819"/>
    </row>
    <row r="7" spans="1:6">
      <c r="B7" s="211">
        <v>2024</v>
      </c>
      <c r="C7" s="211">
        <v>2023</v>
      </c>
    </row>
    <row r="8" spans="1:6">
      <c r="A8" s="289" t="s">
        <v>63</v>
      </c>
    </row>
    <row r="9" spans="1:6">
      <c r="B9" s="210" t="s">
        <v>922</v>
      </c>
    </row>
  </sheetData>
  <mergeCells count="1">
    <mergeCell ref="B6:C6"/>
  </mergeCells>
  <hyperlinks>
    <hyperlink ref="F1" location="BG!A1" display="BG" xr:uid="{00000000-0004-0000-1F00-000000000000}"/>
  </hyperlinks>
  <pageMargins left="0.25" right="0.25" top="0.75" bottom="0.75" header="0.3" footer="0.3"/>
  <pageSetup scale="95" fitToHeight="0"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499984740745262"/>
    <pageSetUpPr fitToPage="1"/>
  </sheetPr>
  <dimension ref="A1:AF11"/>
  <sheetViews>
    <sheetView workbookViewId="0">
      <selection activeCell="B10" sqref="B10"/>
    </sheetView>
  </sheetViews>
  <sheetFormatPr baseColWidth="10" defaultRowHeight="15"/>
  <cols>
    <col min="1" max="1" width="40.7109375" style="210" customWidth="1"/>
    <col min="2" max="3" width="19" style="210" customWidth="1"/>
    <col min="4" max="32" width="11.5703125" style="210" customWidth="1"/>
  </cols>
  <sheetData>
    <row r="1" spans="1:6">
      <c r="F1" s="157" t="s">
        <v>18</v>
      </c>
    </row>
    <row r="4" spans="1:6">
      <c r="A4" s="125" t="s">
        <v>393</v>
      </c>
      <c r="B4" s="125"/>
      <c r="C4" s="125"/>
      <c r="D4" s="125"/>
      <c r="E4" s="125"/>
      <c r="F4" s="125"/>
    </row>
    <row r="6" spans="1:6">
      <c r="B6" s="819" t="s">
        <v>2085</v>
      </c>
      <c r="C6" s="819"/>
    </row>
    <row r="7" spans="1:6">
      <c r="A7" s="289"/>
      <c r="B7" s="211">
        <v>2024</v>
      </c>
      <c r="C7" s="211">
        <v>2023</v>
      </c>
    </row>
    <row r="8" spans="1:6">
      <c r="A8" s="210" t="s">
        <v>394</v>
      </c>
      <c r="B8" s="388">
        <f>'2024'!C269</f>
        <v>1303768629</v>
      </c>
      <c r="C8" s="388">
        <v>0</v>
      </c>
    </row>
    <row r="9" spans="1:6">
      <c r="A9" s="210" t="s">
        <v>1000</v>
      </c>
      <c r="B9" s="388">
        <f>-'2024'!C270</f>
        <v>0</v>
      </c>
      <c r="C9" s="388">
        <v>0</v>
      </c>
    </row>
    <row r="10" spans="1:6">
      <c r="A10" s="210" t="s">
        <v>395</v>
      </c>
      <c r="B10" s="388">
        <f>'2024'!C275</f>
        <v>285413091</v>
      </c>
      <c r="C10" s="388">
        <v>1303768629</v>
      </c>
    </row>
    <row r="11" spans="1:6">
      <c r="A11" s="210" t="s">
        <v>324</v>
      </c>
      <c r="B11" s="389">
        <f>SUM($B$8:B10)</f>
        <v>1589181720</v>
      </c>
      <c r="C11" s="389">
        <f>SUM($C$8:C10)</f>
        <v>1303768629</v>
      </c>
    </row>
  </sheetData>
  <mergeCells count="1">
    <mergeCell ref="B6:C6"/>
  </mergeCells>
  <hyperlinks>
    <hyperlink ref="F1" location="BG!A1" display="BG" xr:uid="{00000000-0004-0000-2000-000000000000}"/>
  </hyperlinks>
  <pageMargins left="0.25" right="0.25" top="0.75" bottom="0.75" header="0.3" footer="0.3"/>
  <pageSetup scale="89" fitToHeight="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499984740745262"/>
    <pageSetUpPr fitToPage="1"/>
  </sheetPr>
  <dimension ref="A1:AH10"/>
  <sheetViews>
    <sheetView workbookViewId="0">
      <selection activeCell="C8" sqref="C8"/>
    </sheetView>
  </sheetViews>
  <sheetFormatPr baseColWidth="10" defaultRowHeight="15"/>
  <cols>
    <col min="1" max="1" width="32.7109375" style="210" customWidth="1"/>
    <col min="2" max="3" width="19" style="210" customWidth="1"/>
    <col min="4" max="6" width="11.5703125" style="210" customWidth="1"/>
    <col min="7" max="34" width="11.5703125" style="133" customWidth="1"/>
  </cols>
  <sheetData>
    <row r="1" spans="1:6">
      <c r="F1" s="157" t="s">
        <v>18</v>
      </c>
    </row>
    <row r="4" spans="1:6">
      <c r="A4" s="125" t="s">
        <v>396</v>
      </c>
      <c r="B4" s="125"/>
      <c r="C4" s="125"/>
      <c r="D4" s="125"/>
      <c r="E4" s="161"/>
      <c r="F4" s="288"/>
    </row>
    <row r="6" spans="1:6">
      <c r="B6" s="819" t="s">
        <v>2085</v>
      </c>
      <c r="C6" s="819"/>
    </row>
    <row r="7" spans="1:6">
      <c r="A7" s="289"/>
      <c r="B7" s="211">
        <v>2024</v>
      </c>
      <c r="C7" s="211">
        <v>2023</v>
      </c>
    </row>
    <row r="8" spans="1:6">
      <c r="A8" s="210" t="s">
        <v>160</v>
      </c>
    </row>
    <row r="9" spans="1:6">
      <c r="A9" s="150" t="s">
        <v>899</v>
      </c>
    </row>
    <row r="10" spans="1:6">
      <c r="B10" s="210" t="s">
        <v>922</v>
      </c>
    </row>
  </sheetData>
  <mergeCells count="1">
    <mergeCell ref="B6:C6"/>
  </mergeCells>
  <hyperlinks>
    <hyperlink ref="F1" location="BG!A1" display="BG" xr:uid="{00000000-0004-0000-2100-000000000000}"/>
  </hyperlinks>
  <pageMargins left="0.25" right="0.25" top="0.75" bottom="0.75" header="0.3" footer="0.3"/>
  <pageSetup scale="89" fitToHeight="0"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499984740745262"/>
    <pageSetUpPr fitToPage="1"/>
  </sheetPr>
  <dimension ref="A1:AG29"/>
  <sheetViews>
    <sheetView showGridLines="0" workbookViewId="0">
      <selection activeCell="E1" sqref="E1"/>
    </sheetView>
  </sheetViews>
  <sheetFormatPr baseColWidth="10" defaultRowHeight="15"/>
  <cols>
    <col min="1" max="1" width="39.42578125" style="133" customWidth="1"/>
    <col min="2" max="2" width="18.140625" style="133" customWidth="1"/>
    <col min="3" max="3" width="17.140625" style="133" customWidth="1"/>
    <col min="4" max="33" width="11.5703125" style="133" customWidth="1"/>
  </cols>
  <sheetData>
    <row r="1" spans="1:33">
      <c r="E1" s="153" t="s">
        <v>70</v>
      </c>
    </row>
    <row r="5" spans="1:33">
      <c r="A5" s="125" t="s">
        <v>397</v>
      </c>
      <c r="B5" s="125"/>
      <c r="C5" s="125"/>
      <c r="D5" s="125"/>
      <c r="E5" s="125"/>
      <c r="F5" s="125"/>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row>
    <row r="6" spans="1:33" hidden="1"/>
    <row r="7" spans="1:33" ht="4.9000000000000004" customHeight="1"/>
    <row r="8" spans="1:33">
      <c r="B8" s="819" t="s">
        <v>2085</v>
      </c>
      <c r="C8" s="819"/>
    </row>
    <row r="9" spans="1:33">
      <c r="B9" s="211">
        <v>2024</v>
      </c>
      <c r="C9" s="211">
        <v>2023</v>
      </c>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row>
    <row r="10" spans="1:33">
      <c r="A10" s="289" t="s">
        <v>71</v>
      </c>
      <c r="B10" s="290"/>
      <c r="C10" s="290"/>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row>
    <row r="11" spans="1:33">
      <c r="A11" s="289" t="s">
        <v>398</v>
      </c>
      <c r="B11" s="402"/>
      <c r="C11" s="402"/>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row>
    <row r="12" spans="1:33">
      <c r="A12" s="291" t="s">
        <v>1007</v>
      </c>
      <c r="B12" s="388">
        <f>(-'2024'!C284-'2024'!C298-'2024'!C309-'2024'!C322-'2024'!C334-'2024'!C344-'2024'!C352-'2024'!C360-'2024'!C368-'2024'!C377-'2024'!C389-'2024'!C407-'2024'!C315)*-1</f>
        <v>7218588860</v>
      </c>
      <c r="C12" s="388">
        <v>6923815079</v>
      </c>
      <c r="D12" s="210"/>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row>
    <row r="13" spans="1:33">
      <c r="A13" s="210" t="s">
        <v>2079</v>
      </c>
      <c r="B13" s="388"/>
      <c r="C13" s="388"/>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row>
    <row r="14" spans="1:33" ht="15" hidden="1" customHeight="1">
      <c r="A14" t="s">
        <v>401</v>
      </c>
      <c r="B14" s="388"/>
      <c r="C14" s="388"/>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row>
    <row r="15" spans="1:33" hidden="1">
      <c r="A15" s="291" t="s">
        <v>402</v>
      </c>
      <c r="B15" s="388"/>
      <c r="C15" s="388"/>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row>
    <row r="16" spans="1:33" hidden="1">
      <c r="A16" s="210" t="s">
        <v>400</v>
      </c>
      <c r="B16" s="388"/>
      <c r="C16" s="388"/>
      <c r="D16" s="210"/>
      <c r="E16" s="210"/>
      <c r="F16" s="210"/>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row>
    <row r="17" spans="1:33" hidden="1">
      <c r="A17" t="s">
        <v>401</v>
      </c>
      <c r="B17" s="388"/>
      <c r="C17" s="388"/>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row>
    <row r="18" spans="1:33">
      <c r="A18" s="289" t="s">
        <v>403</v>
      </c>
      <c r="B18" s="388"/>
      <c r="C18" s="388"/>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row>
    <row r="19" spans="1:33" hidden="1">
      <c r="A19" s="291" t="s">
        <v>399</v>
      </c>
      <c r="B19" s="388"/>
      <c r="C19" s="388"/>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row>
    <row r="20" spans="1:33" hidden="1">
      <c r="A20" s="210" t="s">
        <v>400</v>
      </c>
      <c r="B20" s="388"/>
      <c r="C20" s="388"/>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row>
    <row r="21" spans="1:33" hidden="1">
      <c r="A21" t="s">
        <v>401</v>
      </c>
      <c r="B21" s="388"/>
      <c r="C21" s="388"/>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row>
    <row r="22" spans="1:33" hidden="1">
      <c r="A22" s="291" t="s">
        <v>402</v>
      </c>
      <c r="B22" s="388"/>
      <c r="C22" s="388"/>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row>
    <row r="23" spans="1:33" hidden="1">
      <c r="A23" s="210" t="s">
        <v>400</v>
      </c>
      <c r="B23" s="388"/>
      <c r="C23" s="388"/>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row>
    <row r="24" spans="1:33" hidden="1">
      <c r="A24" t="s">
        <v>401</v>
      </c>
      <c r="B24" s="388"/>
      <c r="C24" s="388"/>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row>
    <row r="25" spans="1:33">
      <c r="A25" s="272" t="s">
        <v>1008</v>
      </c>
      <c r="B25" s="388">
        <f>-'2024'!C402*-1</f>
        <v>99321818</v>
      </c>
      <c r="C25" s="388">
        <v>109800000</v>
      </c>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row>
    <row r="26" spans="1:33">
      <c r="A26" s="289" t="s">
        <v>161</v>
      </c>
      <c r="B26" s="389">
        <f>SUM($B$11:B25)</f>
        <v>7317910678</v>
      </c>
      <c r="C26" s="389">
        <f>SUM($C$11:C25)</f>
        <v>7033615079</v>
      </c>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row>
    <row r="27" spans="1:33">
      <c r="A27" s="150"/>
      <c r="B27" s="388"/>
      <c r="C27" s="388"/>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row>
    <row r="28" spans="1:33">
      <c r="B28" s="369"/>
      <c r="C28" s="369"/>
    </row>
    <row r="29" spans="1:33">
      <c r="B29" s="646">
        <f>+B26-'Nota 26'!B21+'Nota 28'!B16+'Nota 29'!B14</f>
        <v>3564706256</v>
      </c>
      <c r="C29" s="369"/>
    </row>
  </sheetData>
  <mergeCells count="1">
    <mergeCell ref="B8:C8"/>
  </mergeCells>
  <hyperlinks>
    <hyperlink ref="E1" location="ER!A1" display="ER" xr:uid="{00000000-0004-0000-2200-000000000000}"/>
  </hyperlinks>
  <pageMargins left="0.25" right="0.25" top="0.75" bottom="0.75" header="0.3" footer="0.3"/>
  <pageSetup scale="88" fitToHeight="0"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5" tint="-0.499984740745262"/>
    <pageSetUpPr fitToPage="1"/>
  </sheetPr>
  <dimension ref="A1:AE25"/>
  <sheetViews>
    <sheetView showGridLines="0" topLeftCell="A7" workbookViewId="0">
      <selection activeCell="B14" sqref="B14"/>
    </sheetView>
  </sheetViews>
  <sheetFormatPr baseColWidth="10" defaultRowHeight="15"/>
  <cols>
    <col min="1" max="1" width="38" style="133" customWidth="1"/>
    <col min="2" max="2" width="18.140625" style="133" customWidth="1"/>
    <col min="3" max="3" width="17.140625" style="133" customWidth="1"/>
    <col min="4" max="4" width="14" style="133" bestFit="1" customWidth="1"/>
    <col min="5" max="5" width="11.5703125" style="133" customWidth="1"/>
    <col min="6" max="6" width="15.140625" style="133" bestFit="1" customWidth="1"/>
    <col min="7" max="7" width="11.5703125" style="133" customWidth="1"/>
    <col min="8" max="9" width="15.140625" style="133" bestFit="1" customWidth="1"/>
    <col min="10" max="31" width="11.5703125" style="133" customWidth="1"/>
  </cols>
  <sheetData>
    <row r="1" spans="1:31">
      <c r="E1" s="153" t="s">
        <v>70</v>
      </c>
    </row>
    <row r="5" spans="1:31">
      <c r="A5" s="794" t="s">
        <v>405</v>
      </c>
      <c r="B5" s="794"/>
      <c r="C5" s="794"/>
      <c r="D5" s="794"/>
      <c r="E5" s="794"/>
      <c r="F5" s="794"/>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row>
    <row r="7" spans="1:31" ht="4.9000000000000004" customHeight="1">
      <c r="B7" s="828"/>
      <c r="C7" s="828"/>
    </row>
    <row r="8" spans="1:31">
      <c r="B8" s="829" t="s">
        <v>2084</v>
      </c>
      <c r="C8" s="829"/>
    </row>
    <row r="9" spans="1:31">
      <c r="A9" s="289" t="s">
        <v>73</v>
      </c>
      <c r="B9" s="211">
        <v>2024</v>
      </c>
      <c r="C9" s="211">
        <v>2023</v>
      </c>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row>
    <row r="10" spans="1:31">
      <c r="A10" s="289" t="s">
        <v>406</v>
      </c>
      <c r="B10" s="290"/>
      <c r="C10" s="290"/>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row>
    <row r="11" spans="1:31">
      <c r="A11" s="210" t="s">
        <v>407</v>
      </c>
      <c r="B11" s="504">
        <f>-C14</f>
        <v>17779328743</v>
      </c>
      <c r="C11" s="504">
        <v>17443836322</v>
      </c>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row>
    <row r="12" spans="1:31">
      <c r="A12" s="292" t="s">
        <v>408</v>
      </c>
      <c r="B12" s="504">
        <f>+B21-B11-B14</f>
        <v>1670336354</v>
      </c>
      <c r="C12" s="504">
        <v>3520356630</v>
      </c>
      <c r="D12" s="506"/>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row>
    <row r="13" spans="1:31">
      <c r="A13" s="292" t="s">
        <v>409</v>
      </c>
      <c r="B13" s="504">
        <v>0</v>
      </c>
      <c r="C13" s="504" t="s">
        <v>2480</v>
      </c>
      <c r="D13" s="210"/>
      <c r="E13" s="210"/>
      <c r="F13" s="506"/>
      <c r="G13" s="210"/>
      <c r="H13" s="506"/>
      <c r="I13" s="506"/>
      <c r="J13" s="210"/>
      <c r="K13" s="210"/>
      <c r="L13" s="210"/>
      <c r="M13" s="210"/>
      <c r="N13" s="210"/>
      <c r="O13" s="210"/>
      <c r="P13" s="210"/>
      <c r="Q13" s="210"/>
      <c r="R13" s="210"/>
      <c r="S13" s="210"/>
      <c r="T13" s="210"/>
      <c r="U13" s="210"/>
      <c r="V13" s="210"/>
      <c r="W13" s="210"/>
      <c r="X13" s="210"/>
      <c r="Y13" s="210"/>
      <c r="Z13" s="210"/>
      <c r="AA13" s="210"/>
      <c r="AB13" s="210"/>
      <c r="AC13" s="210"/>
      <c r="AD13" s="210"/>
      <c r="AE13" s="210"/>
    </row>
    <row r="14" spans="1:31">
      <c r="A14" s="292" t="s">
        <v>410</v>
      </c>
      <c r="B14" s="504">
        <f>-'Nota 7'!B9</f>
        <v>-15692599893</v>
      </c>
      <c r="C14" s="504">
        <v>-17779328743</v>
      </c>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row>
    <row r="15" spans="1:31">
      <c r="A15" s="289" t="s">
        <v>411</v>
      </c>
      <c r="B15" s="290"/>
      <c r="C15" s="290"/>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row>
    <row r="16" spans="1:31">
      <c r="A16" s="210" t="s">
        <v>407</v>
      </c>
      <c r="B16" s="210"/>
      <c r="C16" s="210"/>
      <c r="D16" s="210"/>
      <c r="E16" s="210"/>
      <c r="F16" s="210"/>
      <c r="G16" s="210"/>
      <c r="H16" s="506"/>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row>
    <row r="17" spans="1:31">
      <c r="A17" s="292" t="s">
        <v>408</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row>
    <row r="18" spans="1:31">
      <c r="A18" s="292" t="s">
        <v>409</v>
      </c>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row>
    <row r="19" spans="1:31">
      <c r="A19" s="292" t="s">
        <v>410</v>
      </c>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row>
    <row r="20" spans="1:31">
      <c r="A20" s="272" t="s">
        <v>404</v>
      </c>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row>
    <row r="21" spans="1:31">
      <c r="A21" s="210" t="s">
        <v>412</v>
      </c>
      <c r="B21" s="505">
        <f>(+'2024'!C291+'2024'!C303+'2024'!C314+'2024'!C327+'2024'!C339+'2024'!C347+'2024'!C355+'2024'!C363+'2024'!C371+'2024'!C381)*-1</f>
        <v>3757065204</v>
      </c>
      <c r="C21" s="505">
        <v>3184864209</v>
      </c>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row>
    <row r="22" spans="1:31">
      <c r="A22" s="210"/>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row>
    <row r="23" spans="1:31">
      <c r="B23" s="508"/>
      <c r="C23" s="508"/>
    </row>
    <row r="25" spans="1:31">
      <c r="B25" s="508"/>
    </row>
  </sheetData>
  <mergeCells count="3">
    <mergeCell ref="A5:F5"/>
    <mergeCell ref="B7:C7"/>
    <mergeCell ref="B8:C8"/>
  </mergeCells>
  <hyperlinks>
    <hyperlink ref="E1" location="ER!A1" display="ER" xr:uid="{00000000-0004-0000-2300-000000000000}"/>
  </hyperlinks>
  <pageMargins left="0.25" right="0.25" top="0.75" bottom="0.75" header="0.3" footer="0.3"/>
  <pageSetup scale="94" fitToHeight="0"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V193"/>
  <sheetViews>
    <sheetView topLeftCell="A37" workbookViewId="0">
      <selection activeCell="C43" activeCellId="1" sqref="C52 C43"/>
    </sheetView>
  </sheetViews>
  <sheetFormatPr baseColWidth="10" defaultRowHeight="15"/>
  <cols>
    <col min="1" max="1" width="11.42578125" customWidth="1"/>
    <col min="2" max="2" width="24.140625" customWidth="1"/>
    <col min="3" max="3" width="15.140625" customWidth="1"/>
    <col min="4" max="4" width="11.42578125" customWidth="1"/>
    <col min="5" max="5" width="0" hidden="1" customWidth="1"/>
    <col min="6" max="6" width="29" hidden="1" customWidth="1"/>
    <col min="7" max="7" width="15.140625" hidden="1" customWidth="1"/>
    <col min="11" max="11" width="14.140625" customWidth="1"/>
    <col min="12" max="12" width="16" customWidth="1"/>
    <col min="14" max="14" width="12.5703125" bestFit="1" customWidth="1"/>
    <col min="16" max="16" width="14.140625" bestFit="1" customWidth="1"/>
    <col min="17" max="17" width="12.5703125" bestFit="1" customWidth="1"/>
    <col min="20" max="20" width="12.5703125" bestFit="1" customWidth="1"/>
  </cols>
  <sheetData>
    <row r="1" spans="1:20">
      <c r="A1" s="830">
        <v>2023</v>
      </c>
      <c r="B1" s="830"/>
      <c r="C1" s="830"/>
      <c r="E1" s="830">
        <v>2022</v>
      </c>
      <c r="F1" s="830"/>
      <c r="G1" s="830"/>
    </row>
    <row r="2" spans="1:20">
      <c r="A2" s="541" t="s">
        <v>1584</v>
      </c>
      <c r="B2" s="541" t="s">
        <v>1585</v>
      </c>
      <c r="C2" s="605"/>
      <c r="E2">
        <v>520101</v>
      </c>
      <c r="F2" t="s">
        <v>1585</v>
      </c>
      <c r="G2" s="620"/>
      <c r="I2" s="574" t="s">
        <v>2391</v>
      </c>
      <c r="J2" s="574"/>
      <c r="K2" s="615"/>
      <c r="L2" s="615"/>
      <c r="M2" s="677"/>
      <c r="N2" s="677"/>
      <c r="O2" s="677"/>
      <c r="P2" s="680">
        <v>859778821</v>
      </c>
      <c r="Q2" s="677"/>
      <c r="R2" s="677"/>
      <c r="S2" s="677"/>
      <c r="T2" s="677"/>
    </row>
    <row r="3" spans="1:20" s="590" customFormat="1">
      <c r="A3" s="541" t="s">
        <v>1586</v>
      </c>
      <c r="B3" s="541" t="s">
        <v>2392</v>
      </c>
      <c r="C3" s="686">
        <v>313934340</v>
      </c>
      <c r="D3"/>
      <c r="E3" s="541">
        <v>520101011</v>
      </c>
      <c r="F3" s="541" t="s">
        <v>2392</v>
      </c>
      <c r="G3" s="600">
        <v>313934340</v>
      </c>
      <c r="H3" s="574"/>
      <c r="I3" s="574" t="s">
        <v>2392</v>
      </c>
      <c r="J3" s="574"/>
      <c r="K3" s="615"/>
      <c r="L3" s="615"/>
      <c r="M3" s="681"/>
      <c r="N3" s="681">
        <v>313934340</v>
      </c>
      <c r="O3" s="681"/>
      <c r="P3" s="681"/>
      <c r="Q3" s="681"/>
      <c r="R3" s="681"/>
      <c r="S3" s="681"/>
      <c r="T3" s="681"/>
    </row>
    <row r="4" spans="1:20" s="590" customFormat="1">
      <c r="A4" s="541" t="s">
        <v>2491</v>
      </c>
      <c r="B4" s="541" t="s">
        <v>2393</v>
      </c>
      <c r="C4" s="686">
        <v>4824672</v>
      </c>
      <c r="D4"/>
      <c r="E4" s="541"/>
      <c r="F4" s="541" t="s">
        <v>2393</v>
      </c>
      <c r="G4" s="600">
        <v>4824672</v>
      </c>
      <c r="H4" s="574"/>
      <c r="I4" s="574" t="s">
        <v>2393</v>
      </c>
      <c r="J4" s="574"/>
      <c r="K4" s="615"/>
      <c r="L4" s="615"/>
      <c r="M4" s="681"/>
      <c r="N4" s="681">
        <v>4824672</v>
      </c>
      <c r="O4" s="681"/>
      <c r="P4" s="681"/>
      <c r="Q4" s="681"/>
      <c r="R4" s="681"/>
      <c r="S4" s="681"/>
      <c r="T4" s="681"/>
    </row>
    <row r="5" spans="1:20" s="590" customFormat="1">
      <c r="A5" s="541" t="s">
        <v>2491</v>
      </c>
      <c r="B5" s="541" t="s">
        <v>2394</v>
      </c>
      <c r="C5" s="686">
        <v>53915592</v>
      </c>
      <c r="D5"/>
      <c r="E5" s="541"/>
      <c r="F5" s="541" t="s">
        <v>2394</v>
      </c>
      <c r="G5" s="600">
        <v>53915592</v>
      </c>
      <c r="H5" s="574"/>
      <c r="I5" s="574" t="s">
        <v>2394</v>
      </c>
      <c r="J5" s="574"/>
      <c r="K5" s="615"/>
      <c r="L5" s="615"/>
      <c r="M5" s="681"/>
      <c r="N5" s="681">
        <v>53915592</v>
      </c>
      <c r="O5" s="681"/>
      <c r="P5" s="681"/>
      <c r="Q5" s="681"/>
      <c r="R5" s="681"/>
      <c r="S5" s="681"/>
      <c r="T5" s="681"/>
    </row>
    <row r="6" spans="1:20">
      <c r="A6" s="541" t="s">
        <v>2491</v>
      </c>
      <c r="B6" s="541" t="s">
        <v>2395</v>
      </c>
      <c r="C6" s="686">
        <v>26161194</v>
      </c>
      <c r="E6" s="541"/>
      <c r="F6" s="541" t="s">
        <v>2395</v>
      </c>
      <c r="G6" s="600">
        <v>26161194</v>
      </c>
      <c r="H6" s="574"/>
      <c r="I6" s="618" t="s">
        <v>2395</v>
      </c>
      <c r="J6" s="618"/>
      <c r="K6" s="618"/>
      <c r="L6" s="618"/>
      <c r="M6" s="677"/>
      <c r="N6" s="677">
        <v>26161194</v>
      </c>
      <c r="O6" s="677"/>
      <c r="P6" s="677"/>
      <c r="Q6" s="677"/>
      <c r="R6" s="677"/>
      <c r="S6" s="677"/>
      <c r="T6" s="677"/>
    </row>
    <row r="7" spans="1:20">
      <c r="A7" s="541" t="s">
        <v>1860</v>
      </c>
      <c r="B7" s="541" t="s">
        <v>1861</v>
      </c>
      <c r="C7" s="605">
        <v>0</v>
      </c>
      <c r="E7" s="541">
        <v>520101022</v>
      </c>
      <c r="F7" s="541" t="s">
        <v>1861</v>
      </c>
      <c r="G7" s="600">
        <v>0</v>
      </c>
      <c r="H7" s="574"/>
      <c r="I7" s="574" t="s">
        <v>2396</v>
      </c>
      <c r="J7" s="574"/>
      <c r="K7" s="615"/>
      <c r="L7" s="615"/>
      <c r="M7" s="677"/>
      <c r="N7" s="677">
        <v>11591066</v>
      </c>
      <c r="O7" s="677"/>
      <c r="P7" s="677"/>
      <c r="Q7" s="677"/>
      <c r="R7" s="677"/>
      <c r="S7" s="677"/>
      <c r="T7" s="677"/>
    </row>
    <row r="8" spans="1:20" s="590" customFormat="1">
      <c r="A8" s="541" t="s">
        <v>1862</v>
      </c>
      <c r="B8" s="541" t="s">
        <v>1863</v>
      </c>
      <c r="C8" s="686">
        <v>11591066</v>
      </c>
      <c r="D8"/>
      <c r="E8" s="541">
        <v>520101069</v>
      </c>
      <c r="F8" s="541" t="s">
        <v>1863</v>
      </c>
      <c r="G8" s="600">
        <v>11591066</v>
      </c>
      <c r="H8" s="574"/>
      <c r="I8" s="574" t="s">
        <v>2397</v>
      </c>
      <c r="J8" s="574"/>
      <c r="K8" s="615"/>
      <c r="L8" s="615"/>
      <c r="M8" s="681"/>
      <c r="N8" s="681">
        <v>13808793</v>
      </c>
      <c r="O8" s="681"/>
      <c r="P8" s="681"/>
      <c r="Q8" s="681"/>
      <c r="R8" s="681"/>
      <c r="S8" s="681"/>
      <c r="T8" s="681"/>
    </row>
    <row r="9" spans="1:20" s="590" customFormat="1">
      <c r="A9" s="541" t="s">
        <v>1864</v>
      </c>
      <c r="B9" s="541" t="s">
        <v>1865</v>
      </c>
      <c r="C9" s="686">
        <v>13808793</v>
      </c>
      <c r="D9"/>
      <c r="E9" s="541"/>
      <c r="F9" s="599" t="s">
        <v>1865</v>
      </c>
      <c r="G9" s="600">
        <v>13808793</v>
      </c>
      <c r="H9" s="574"/>
      <c r="I9" s="574" t="s">
        <v>2398</v>
      </c>
      <c r="J9" s="574"/>
      <c r="K9" s="615"/>
      <c r="L9" s="615"/>
      <c r="M9" s="681"/>
      <c r="N9" s="681">
        <v>73270783</v>
      </c>
      <c r="O9" s="681"/>
      <c r="P9" s="681"/>
      <c r="Q9" s="681"/>
      <c r="R9" s="681"/>
      <c r="S9" s="681"/>
      <c r="T9" s="681"/>
    </row>
    <row r="10" spans="1:20" s="590" customFormat="1">
      <c r="A10" s="541" t="s">
        <v>1593</v>
      </c>
      <c r="B10" s="541" t="s">
        <v>1594</v>
      </c>
      <c r="C10" s="685">
        <v>73270783</v>
      </c>
      <c r="D10"/>
      <c r="E10" s="541">
        <v>520101073</v>
      </c>
      <c r="F10" s="541" t="s">
        <v>1594</v>
      </c>
      <c r="G10" s="600">
        <v>73270783</v>
      </c>
      <c r="H10" s="574"/>
      <c r="I10" s="574" t="s">
        <v>2399</v>
      </c>
      <c r="J10" s="574"/>
      <c r="K10" s="615"/>
      <c r="L10" s="615"/>
      <c r="M10" s="681"/>
      <c r="N10" s="681">
        <v>29059548</v>
      </c>
      <c r="O10" s="681"/>
      <c r="P10" s="681"/>
      <c r="Q10" s="681"/>
      <c r="R10" s="681"/>
      <c r="S10" s="681"/>
      <c r="T10" s="681"/>
    </row>
    <row r="11" spans="1:20">
      <c r="A11" s="541" t="s">
        <v>1595</v>
      </c>
      <c r="B11" s="541" t="s">
        <v>1596</v>
      </c>
      <c r="C11" s="685">
        <v>0</v>
      </c>
      <c r="E11" s="541">
        <v>520101074</v>
      </c>
      <c r="F11" s="541" t="s">
        <v>1596</v>
      </c>
      <c r="G11" s="600">
        <v>0</v>
      </c>
      <c r="H11" s="574"/>
      <c r="I11" s="574" t="s">
        <v>2400</v>
      </c>
      <c r="J11" s="574"/>
      <c r="K11" s="615"/>
      <c r="L11" s="615"/>
      <c r="M11" s="677"/>
      <c r="N11" s="677">
        <v>26312500</v>
      </c>
      <c r="O11" s="677"/>
      <c r="P11" s="677"/>
      <c r="Q11" s="677"/>
      <c r="R11" s="677"/>
      <c r="S11" s="677"/>
      <c r="T11" s="677"/>
    </row>
    <row r="12" spans="1:20">
      <c r="A12" s="541" t="s">
        <v>1597</v>
      </c>
      <c r="B12" s="541" t="s">
        <v>1598</v>
      </c>
      <c r="C12" s="685">
        <v>29059548</v>
      </c>
      <c r="E12" s="541">
        <v>520101077</v>
      </c>
      <c r="F12" s="541" t="s">
        <v>1598</v>
      </c>
      <c r="G12" s="600">
        <v>29059548</v>
      </c>
      <c r="H12" s="574"/>
      <c r="I12" s="618" t="s">
        <v>2401</v>
      </c>
      <c r="J12" s="618"/>
      <c r="K12" s="618"/>
      <c r="L12" s="618"/>
      <c r="M12" s="677"/>
      <c r="N12" s="677">
        <v>4836109</v>
      </c>
      <c r="O12" s="677"/>
      <c r="P12" s="677"/>
      <c r="Q12" s="677"/>
      <c r="R12" s="677"/>
      <c r="S12" s="677"/>
      <c r="T12" s="677"/>
    </row>
    <row r="13" spans="1:20">
      <c r="A13" s="541" t="s">
        <v>1599</v>
      </c>
      <c r="B13" s="541" t="s">
        <v>1600</v>
      </c>
      <c r="C13" s="685">
        <v>26312500</v>
      </c>
      <c r="E13" s="541">
        <v>520101079</v>
      </c>
      <c r="F13" s="541" t="s">
        <v>1600</v>
      </c>
      <c r="G13" s="600">
        <v>26312500</v>
      </c>
      <c r="H13" s="574"/>
      <c r="I13" s="574" t="s">
        <v>2402</v>
      </c>
      <c r="J13" s="574"/>
      <c r="K13" s="615"/>
      <c r="L13" s="615"/>
      <c r="M13" s="677"/>
      <c r="N13" s="677">
        <v>19868</v>
      </c>
      <c r="O13" s="677"/>
      <c r="P13" s="677"/>
      <c r="Q13" s="677"/>
      <c r="R13" s="677"/>
      <c r="S13" s="677"/>
      <c r="T13" s="677"/>
    </row>
    <row r="14" spans="1:20">
      <c r="A14" s="541" t="s">
        <v>2491</v>
      </c>
      <c r="B14" s="541" t="s">
        <v>2401</v>
      </c>
      <c r="C14" s="685">
        <v>4836109</v>
      </c>
      <c r="E14" s="541"/>
      <c r="F14" s="541" t="s">
        <v>2401</v>
      </c>
      <c r="G14" s="600">
        <v>4836109</v>
      </c>
      <c r="H14" s="574"/>
      <c r="I14" s="574" t="s">
        <v>2403</v>
      </c>
      <c r="J14" s="574"/>
      <c r="K14" s="615"/>
      <c r="L14" s="615"/>
      <c r="M14" s="677"/>
      <c r="N14" s="677">
        <v>160629995</v>
      </c>
      <c r="O14" s="677"/>
      <c r="P14" s="677"/>
      <c r="Q14" s="677"/>
      <c r="R14" s="677"/>
      <c r="S14" s="677"/>
      <c r="T14" s="677"/>
    </row>
    <row r="15" spans="1:20">
      <c r="A15" s="541" t="s">
        <v>2491</v>
      </c>
      <c r="B15" s="541" t="s">
        <v>2402</v>
      </c>
      <c r="C15" s="685">
        <v>19868</v>
      </c>
      <c r="E15" s="541"/>
      <c r="F15" s="541" t="s">
        <v>2402</v>
      </c>
      <c r="G15" s="600">
        <v>19868</v>
      </c>
      <c r="H15" s="574"/>
      <c r="I15" s="574" t="s">
        <v>2404</v>
      </c>
      <c r="J15" s="574"/>
      <c r="K15" s="615"/>
      <c r="L15" s="615"/>
      <c r="M15" s="677"/>
      <c r="N15" s="677">
        <v>13004546</v>
      </c>
      <c r="O15" s="677"/>
      <c r="P15" s="677"/>
      <c r="Q15" s="677"/>
      <c r="R15" s="677"/>
      <c r="S15" s="677"/>
      <c r="T15" s="677"/>
    </row>
    <row r="16" spans="1:20">
      <c r="A16" s="541" t="s">
        <v>1793</v>
      </c>
      <c r="B16" s="541" t="s">
        <v>1794</v>
      </c>
      <c r="C16" s="685">
        <v>160629995</v>
      </c>
      <c r="E16" s="541">
        <v>520101085</v>
      </c>
      <c r="F16" s="541" t="s">
        <v>1794</v>
      </c>
      <c r="G16" s="600">
        <v>160629995</v>
      </c>
      <c r="H16" s="574"/>
      <c r="I16" s="574" t="s">
        <v>2405</v>
      </c>
      <c r="J16" s="574"/>
      <c r="K16" s="615"/>
      <c r="L16" s="615"/>
      <c r="M16" s="677"/>
      <c r="N16" s="677">
        <v>1352820</v>
      </c>
      <c r="O16" s="677"/>
      <c r="P16" s="677"/>
      <c r="Q16" s="677"/>
      <c r="R16" s="677"/>
      <c r="S16" s="677"/>
      <c r="T16" s="677"/>
    </row>
    <row r="17" spans="1:20" s="590" customFormat="1">
      <c r="A17" s="541" t="s">
        <v>2491</v>
      </c>
      <c r="B17" s="541"/>
      <c r="C17" s="606"/>
      <c r="D17"/>
      <c r="E17" s="541"/>
      <c r="F17" s="599" t="s">
        <v>2069</v>
      </c>
      <c r="G17" s="601">
        <v>0</v>
      </c>
      <c r="H17" s="574"/>
      <c r="I17" s="574" t="s">
        <v>2406</v>
      </c>
      <c r="J17" s="574"/>
      <c r="K17" s="615"/>
      <c r="L17" s="615"/>
      <c r="M17" s="681"/>
      <c r="N17" s="681">
        <v>15800342</v>
      </c>
      <c r="O17" s="681"/>
      <c r="P17" s="681"/>
      <c r="Q17" s="681"/>
      <c r="R17" s="681"/>
      <c r="S17" s="681"/>
      <c r="T17" s="681"/>
    </row>
    <row r="18" spans="1:20" s="590" customFormat="1">
      <c r="A18" s="541" t="s">
        <v>1602</v>
      </c>
      <c r="B18" s="541" t="s">
        <v>1603</v>
      </c>
      <c r="C18" s="685">
        <v>13004546</v>
      </c>
      <c r="D18"/>
      <c r="E18" s="541">
        <v>520101092</v>
      </c>
      <c r="F18" s="541" t="s">
        <v>1603</v>
      </c>
      <c r="G18" s="600">
        <v>13004546</v>
      </c>
      <c r="H18" s="574"/>
      <c r="I18" s="574" t="s">
        <v>2407</v>
      </c>
      <c r="J18" s="574"/>
      <c r="K18" s="615"/>
      <c r="L18" s="615"/>
      <c r="M18" s="681"/>
      <c r="N18" s="681">
        <v>10613823</v>
      </c>
      <c r="O18" s="681"/>
      <c r="P18" s="681"/>
      <c r="Q18" s="681"/>
      <c r="R18" s="681"/>
      <c r="S18" s="681"/>
      <c r="T18" s="681"/>
    </row>
    <row r="19" spans="1:20" s="590" customFormat="1">
      <c r="A19" s="541" t="s">
        <v>1604</v>
      </c>
      <c r="B19" s="541" t="s">
        <v>1605</v>
      </c>
      <c r="C19" s="691">
        <v>1352820</v>
      </c>
      <c r="D19"/>
      <c r="E19" s="541">
        <v>520101094</v>
      </c>
      <c r="F19" s="541" t="s">
        <v>1605</v>
      </c>
      <c r="G19" s="601">
        <v>1352820</v>
      </c>
      <c r="H19" s="574"/>
      <c r="I19" s="574" t="s">
        <v>2408</v>
      </c>
      <c r="J19" s="574"/>
      <c r="K19" s="615"/>
      <c r="L19" s="615"/>
      <c r="M19" s="681"/>
      <c r="N19" s="681">
        <v>2378182</v>
      </c>
      <c r="O19" s="681"/>
      <c r="P19" s="681"/>
      <c r="Q19" s="681"/>
      <c r="R19" s="681"/>
      <c r="S19" s="681"/>
      <c r="T19" s="681"/>
    </row>
    <row r="20" spans="1:20">
      <c r="A20" s="541" t="s">
        <v>1795</v>
      </c>
      <c r="B20" s="541" t="s">
        <v>1796</v>
      </c>
      <c r="C20" s="691">
        <v>15800342</v>
      </c>
      <c r="E20" s="541">
        <v>520101095</v>
      </c>
      <c r="F20" s="541" t="s">
        <v>1796</v>
      </c>
      <c r="G20" s="601">
        <v>15800342</v>
      </c>
      <c r="H20" s="574"/>
      <c r="I20" s="574" t="s">
        <v>2409</v>
      </c>
      <c r="J20" s="574"/>
      <c r="K20" s="615"/>
      <c r="L20" s="615"/>
      <c r="M20" s="677"/>
      <c r="N20" s="677">
        <v>223636</v>
      </c>
      <c r="O20" s="677"/>
      <c r="P20" s="677"/>
      <c r="Q20" s="677"/>
      <c r="R20" s="677"/>
      <c r="S20" s="677"/>
      <c r="T20" s="677"/>
    </row>
    <row r="21" spans="1:20">
      <c r="A21" s="541" t="s">
        <v>1866</v>
      </c>
      <c r="B21" s="541" t="s">
        <v>1867</v>
      </c>
      <c r="C21" s="689">
        <v>10613823</v>
      </c>
      <c r="E21" s="541">
        <v>520101102</v>
      </c>
      <c r="F21" s="541" t="s">
        <v>1867</v>
      </c>
      <c r="G21" s="627">
        <v>10613823</v>
      </c>
      <c r="H21" s="574"/>
      <c r="I21" s="574" t="s">
        <v>2410</v>
      </c>
      <c r="J21" s="574"/>
      <c r="K21" s="615"/>
      <c r="L21" s="615"/>
      <c r="M21" s="677"/>
      <c r="N21" s="677">
        <v>5131231</v>
      </c>
      <c r="O21" s="677"/>
      <c r="P21" s="677"/>
      <c r="Q21" s="677"/>
      <c r="R21" s="677"/>
      <c r="S21" s="677"/>
      <c r="T21" s="677"/>
    </row>
    <row r="22" spans="1:20" s="590" customFormat="1">
      <c r="A22" s="541" t="s">
        <v>2491</v>
      </c>
      <c r="B22" s="541"/>
      <c r="C22" s="606"/>
      <c r="D22"/>
      <c r="E22" s="541">
        <v>520101103</v>
      </c>
      <c r="F22" s="541" t="s">
        <v>1849</v>
      </c>
      <c r="G22" s="601">
        <v>0</v>
      </c>
      <c r="H22" s="574"/>
      <c r="I22" s="574" t="s">
        <v>2411</v>
      </c>
      <c r="J22" s="574"/>
      <c r="K22" s="615"/>
      <c r="L22" s="615"/>
      <c r="M22" s="681"/>
      <c r="N22" s="681">
        <v>18447823</v>
      </c>
      <c r="O22" s="681"/>
      <c r="P22" s="681"/>
      <c r="Q22" s="681"/>
      <c r="R22" s="681"/>
      <c r="S22" s="681"/>
      <c r="T22" s="681"/>
    </row>
    <row r="23" spans="1:20">
      <c r="A23" s="541" t="s">
        <v>1606</v>
      </c>
      <c r="B23" s="541" t="s">
        <v>1607</v>
      </c>
      <c r="C23" s="691">
        <v>2378182</v>
      </c>
      <c r="E23" s="541">
        <v>520101150</v>
      </c>
      <c r="F23" s="541" t="s">
        <v>1607</v>
      </c>
      <c r="G23" s="601">
        <v>2378182</v>
      </c>
      <c r="H23" s="574"/>
      <c r="I23" s="574" t="s">
        <v>2412</v>
      </c>
      <c r="J23" s="574"/>
      <c r="K23" s="615"/>
      <c r="L23" s="615"/>
      <c r="M23" s="677"/>
      <c r="N23" s="677">
        <v>22424711</v>
      </c>
      <c r="O23" s="677"/>
      <c r="P23" s="677"/>
      <c r="Q23" s="677"/>
      <c r="R23" s="677"/>
      <c r="S23" s="677"/>
      <c r="T23" s="677"/>
    </row>
    <row r="24" spans="1:20">
      <c r="A24" s="541" t="s">
        <v>1608</v>
      </c>
      <c r="B24" s="541" t="s">
        <v>1609</v>
      </c>
      <c r="C24" s="685">
        <v>223636</v>
      </c>
      <c r="E24" s="541">
        <v>520101168</v>
      </c>
      <c r="F24" s="541" t="s">
        <v>1609</v>
      </c>
      <c r="G24" s="600">
        <v>223636</v>
      </c>
      <c r="H24" s="574"/>
      <c r="I24" s="574" t="s">
        <v>2413</v>
      </c>
      <c r="J24" s="574"/>
      <c r="K24" s="615"/>
      <c r="L24" s="615"/>
      <c r="M24" s="677"/>
      <c r="N24" s="677">
        <v>16364</v>
      </c>
      <c r="O24" s="677"/>
      <c r="P24" s="677"/>
      <c r="Q24" s="677"/>
      <c r="R24" s="677"/>
      <c r="S24" s="677"/>
      <c r="T24" s="677"/>
    </row>
    <row r="25" spans="1:20">
      <c r="A25" s="541" t="s">
        <v>1610</v>
      </c>
      <c r="B25" s="541" t="s">
        <v>1611</v>
      </c>
      <c r="C25" s="689">
        <v>5131231</v>
      </c>
      <c r="E25" s="541">
        <v>520101201</v>
      </c>
      <c r="F25" s="541" t="s">
        <v>1611</v>
      </c>
      <c r="G25" s="626">
        <v>5131231</v>
      </c>
      <c r="H25" s="574"/>
      <c r="I25" s="574" t="s">
        <v>2414</v>
      </c>
      <c r="J25" s="574"/>
      <c r="K25" s="615"/>
      <c r="L25" s="615"/>
      <c r="M25" s="677"/>
      <c r="N25" s="677">
        <v>37950916</v>
      </c>
      <c r="O25" s="677"/>
      <c r="P25" s="677"/>
      <c r="Q25" s="677"/>
      <c r="R25" s="677"/>
      <c r="S25" s="677"/>
      <c r="T25" s="677"/>
    </row>
    <row r="26" spans="1:20">
      <c r="A26" s="541" t="s">
        <v>1612</v>
      </c>
      <c r="B26" s="541" t="s">
        <v>1613</v>
      </c>
      <c r="C26" s="689">
        <v>18447823</v>
      </c>
      <c r="E26" s="541">
        <v>520101202</v>
      </c>
      <c r="F26" s="541" t="s">
        <v>1613</v>
      </c>
      <c r="G26" s="626">
        <v>18447823</v>
      </c>
      <c r="H26" s="574"/>
      <c r="I26" s="574" t="s">
        <v>2415</v>
      </c>
      <c r="J26" s="574"/>
      <c r="K26" s="615"/>
      <c r="L26" s="615"/>
      <c r="M26" s="677"/>
      <c r="N26" s="677">
        <v>14069967</v>
      </c>
      <c r="O26" s="677"/>
      <c r="P26" s="677"/>
      <c r="Q26" s="677"/>
      <c r="R26" s="677"/>
      <c r="S26" s="677"/>
      <c r="T26" s="677"/>
    </row>
    <row r="27" spans="1:20">
      <c r="A27" s="541" t="s">
        <v>1868</v>
      </c>
      <c r="B27" s="541" t="s">
        <v>1869</v>
      </c>
      <c r="C27" s="606"/>
      <c r="E27" s="541">
        <v>520101204</v>
      </c>
      <c r="F27" s="541" t="s">
        <v>1615</v>
      </c>
      <c r="G27" s="601"/>
      <c r="H27" s="502"/>
      <c r="I27" s="574" t="s">
        <v>2416</v>
      </c>
      <c r="J27" s="574"/>
      <c r="K27" s="615"/>
      <c r="L27" s="615"/>
      <c r="M27" s="677"/>
      <c r="N27" s="677"/>
      <c r="O27" s="677"/>
      <c r="P27" s="677">
        <v>68591161</v>
      </c>
      <c r="Q27" s="677"/>
      <c r="R27" s="677"/>
      <c r="S27" s="677"/>
      <c r="T27" s="677"/>
    </row>
    <row r="28" spans="1:20">
      <c r="A28" s="541" t="s">
        <v>1797</v>
      </c>
      <c r="B28" s="541" t="s">
        <v>1798</v>
      </c>
      <c r="C28" s="691"/>
      <c r="E28" s="541">
        <v>520101219</v>
      </c>
      <c r="F28" s="541" t="s">
        <v>1798</v>
      </c>
      <c r="G28" s="601"/>
      <c r="H28" s="574"/>
      <c r="I28" s="574" t="s">
        <v>2417</v>
      </c>
      <c r="J28" s="574"/>
      <c r="K28" s="615"/>
      <c r="L28" s="615"/>
      <c r="M28" s="677"/>
      <c r="N28" s="677">
        <v>66503525</v>
      </c>
      <c r="O28" s="677"/>
      <c r="P28" s="677"/>
      <c r="Q28" s="677"/>
      <c r="R28" s="677"/>
      <c r="S28" s="677"/>
      <c r="T28" s="677"/>
    </row>
    <row r="29" spans="1:20">
      <c r="A29" s="541" t="s">
        <v>1616</v>
      </c>
      <c r="B29" s="541" t="s">
        <v>1617</v>
      </c>
      <c r="C29" s="685">
        <v>22424711</v>
      </c>
      <c r="E29" s="541">
        <v>520101221</v>
      </c>
      <c r="F29" s="541" t="s">
        <v>1617</v>
      </c>
      <c r="G29" s="600">
        <v>22424711</v>
      </c>
      <c r="H29" s="574"/>
      <c r="I29" s="574" t="s">
        <v>2418</v>
      </c>
      <c r="J29" s="574"/>
      <c r="K29" s="616"/>
      <c r="L29" s="616"/>
      <c r="M29" s="677"/>
      <c r="N29" s="677">
        <v>2087636</v>
      </c>
      <c r="O29" s="677"/>
      <c r="P29" s="677"/>
      <c r="Q29" s="677"/>
      <c r="R29" s="677"/>
      <c r="S29" s="677"/>
      <c r="T29" s="677"/>
    </row>
    <row r="30" spans="1:20">
      <c r="A30" s="541" t="s">
        <v>1870</v>
      </c>
      <c r="B30" s="541" t="s">
        <v>1639</v>
      </c>
      <c r="C30" s="691"/>
      <c r="E30" s="541">
        <v>520101246</v>
      </c>
      <c r="F30" s="541" t="s">
        <v>1619</v>
      </c>
      <c r="G30" s="601">
        <v>16364</v>
      </c>
      <c r="H30" s="574"/>
      <c r="I30" s="574"/>
      <c r="J30" s="574"/>
      <c r="K30" s="616"/>
      <c r="L30" s="616"/>
      <c r="M30" s="677"/>
      <c r="N30" s="677"/>
      <c r="O30" s="677"/>
      <c r="P30" s="677"/>
      <c r="Q30" s="677"/>
      <c r="R30" s="677"/>
      <c r="S30" s="677"/>
      <c r="T30" s="677"/>
    </row>
    <row r="31" spans="1:20">
      <c r="A31" s="541" t="s">
        <v>1618</v>
      </c>
      <c r="B31" s="541" t="s">
        <v>1619</v>
      </c>
      <c r="C31" s="691">
        <v>16364</v>
      </c>
      <c r="E31" s="541">
        <v>520101249</v>
      </c>
      <c r="F31" s="541" t="s">
        <v>1621</v>
      </c>
      <c r="G31" s="600">
        <v>37950916</v>
      </c>
      <c r="H31" s="574"/>
      <c r="I31" s="574"/>
      <c r="J31" s="574"/>
      <c r="K31" s="616"/>
      <c r="L31" s="616"/>
      <c r="M31" s="677"/>
      <c r="N31" s="677"/>
      <c r="O31" s="677"/>
      <c r="P31" s="677"/>
      <c r="Q31" s="677"/>
      <c r="R31" s="677"/>
      <c r="S31" s="677"/>
      <c r="T31" s="677"/>
    </row>
    <row r="32" spans="1:20">
      <c r="A32" s="541" t="s">
        <v>1620</v>
      </c>
      <c r="B32" s="541" t="s">
        <v>1621</v>
      </c>
      <c r="C32" s="685">
        <v>37950916</v>
      </c>
      <c r="E32" s="541">
        <v>520101250</v>
      </c>
      <c r="F32" s="541" t="s">
        <v>1623</v>
      </c>
      <c r="G32" s="601">
        <v>14069967</v>
      </c>
      <c r="H32" s="574"/>
      <c r="I32" s="574"/>
      <c r="J32" s="574"/>
      <c r="K32" s="616"/>
      <c r="L32" s="616"/>
      <c r="M32" s="677"/>
      <c r="N32" s="677"/>
      <c r="O32" s="677"/>
      <c r="P32" s="677"/>
      <c r="Q32" s="677"/>
      <c r="R32" s="677"/>
      <c r="S32" s="677"/>
      <c r="T32" s="677"/>
    </row>
    <row r="33" spans="1:22">
      <c r="A33" s="541" t="s">
        <v>1622</v>
      </c>
      <c r="B33" s="541" t="s">
        <v>1623</v>
      </c>
      <c r="C33" s="691">
        <v>14069967</v>
      </c>
      <c r="E33" s="541">
        <v>520101</v>
      </c>
      <c r="F33" s="541" t="s">
        <v>1585</v>
      </c>
      <c r="G33" s="615">
        <f>SUM(G3:G32)</f>
        <v>859778821</v>
      </c>
      <c r="H33" s="574"/>
      <c r="I33" s="574"/>
      <c r="J33" s="574"/>
      <c r="K33" s="616"/>
      <c r="L33" s="616"/>
      <c r="M33" s="677"/>
      <c r="N33" s="677"/>
      <c r="O33" s="677"/>
      <c r="P33" s="677"/>
      <c r="Q33" s="677"/>
      <c r="R33" s="677"/>
      <c r="S33" s="677"/>
      <c r="T33" s="677"/>
    </row>
    <row r="34" spans="1:22">
      <c r="A34" s="541" t="s">
        <v>1584</v>
      </c>
      <c r="B34" s="541" t="s">
        <v>1585</v>
      </c>
      <c r="C34" s="606">
        <f>SUM(C3:C33)</f>
        <v>859778821</v>
      </c>
      <c r="E34" s="541">
        <v>520110</v>
      </c>
      <c r="F34" s="541" t="s">
        <v>1872</v>
      </c>
      <c r="G34" s="616"/>
      <c r="H34" s="574"/>
      <c r="I34" s="574"/>
      <c r="J34" s="574"/>
      <c r="K34" s="616"/>
      <c r="L34" s="616"/>
      <c r="M34" s="677"/>
      <c r="N34" s="677"/>
      <c r="O34" s="677"/>
      <c r="P34" s="677"/>
      <c r="Q34" s="677"/>
      <c r="R34" s="677"/>
      <c r="S34" s="677"/>
      <c r="T34" s="677"/>
    </row>
    <row r="35" spans="1:22">
      <c r="A35" s="541" t="s">
        <v>1871</v>
      </c>
      <c r="B35" s="541" t="s">
        <v>1872</v>
      </c>
      <c r="C35" s="606"/>
      <c r="E35" s="541">
        <v>520110015</v>
      </c>
      <c r="F35" s="541" t="s">
        <v>1874</v>
      </c>
      <c r="G35" s="627">
        <v>66503525</v>
      </c>
      <c r="H35" s="574"/>
      <c r="I35" s="574"/>
      <c r="J35" s="574"/>
      <c r="K35" s="616"/>
      <c r="L35" s="616"/>
      <c r="M35" s="677"/>
      <c r="N35" s="677"/>
      <c r="O35" s="677"/>
      <c r="P35" s="677"/>
      <c r="Q35" s="677"/>
      <c r="R35" s="677"/>
      <c r="S35" s="677"/>
      <c r="T35" s="677"/>
    </row>
    <row r="36" spans="1:22">
      <c r="A36" s="541" t="s">
        <v>1873</v>
      </c>
      <c r="B36" s="541" t="s">
        <v>1874</v>
      </c>
      <c r="C36" s="687">
        <v>66503525</v>
      </c>
      <c r="E36" s="541"/>
      <c r="F36" s="541" t="s">
        <v>2418</v>
      </c>
      <c r="G36" s="627">
        <v>2087636</v>
      </c>
      <c r="H36" s="574"/>
      <c r="I36" s="574"/>
      <c r="J36" s="574"/>
      <c r="K36" s="616"/>
      <c r="L36" s="616"/>
      <c r="M36" s="677"/>
      <c r="N36" s="677"/>
      <c r="O36" s="677"/>
      <c r="P36" s="677"/>
      <c r="Q36" s="677"/>
      <c r="R36" s="677"/>
      <c r="S36" s="677"/>
      <c r="T36" s="677"/>
    </row>
    <row r="37" spans="1:22">
      <c r="A37" s="541" t="s">
        <v>2491</v>
      </c>
      <c r="B37" s="541" t="s">
        <v>2418</v>
      </c>
      <c r="C37" s="685">
        <v>2087636</v>
      </c>
      <c r="E37" s="541">
        <v>520110</v>
      </c>
      <c r="F37" s="541" t="s">
        <v>1872</v>
      </c>
      <c r="G37" s="615">
        <f>SUM(G35:G36)</f>
        <v>68591161</v>
      </c>
      <c r="H37" s="574"/>
      <c r="I37" s="574"/>
      <c r="J37" s="574"/>
      <c r="K37" s="616"/>
      <c r="L37" s="616"/>
      <c r="M37" s="677"/>
      <c r="N37" s="677"/>
      <c r="O37" s="677"/>
      <c r="P37" s="677"/>
      <c r="Q37" s="677"/>
      <c r="R37" s="677"/>
      <c r="S37" s="677"/>
      <c r="T37" s="677"/>
    </row>
    <row r="38" spans="1:22">
      <c r="A38" s="541" t="s">
        <v>1875</v>
      </c>
      <c r="B38" s="541" t="s">
        <v>1663</v>
      </c>
      <c r="C38" s="687"/>
      <c r="E38" s="541">
        <v>520111</v>
      </c>
      <c r="F38" s="541" t="s">
        <v>1626</v>
      </c>
      <c r="G38" s="615"/>
      <c r="H38" s="574"/>
      <c r="I38" s="574"/>
      <c r="J38" s="574"/>
      <c r="K38" s="616"/>
      <c r="L38" s="616"/>
      <c r="M38" s="677"/>
      <c r="N38" s="677"/>
      <c r="O38" s="677"/>
      <c r="P38" s="677"/>
      <c r="Q38" s="677"/>
      <c r="R38" s="677"/>
      <c r="S38" s="677"/>
      <c r="T38" s="677"/>
    </row>
    <row r="39" spans="1:22">
      <c r="A39" s="541" t="s">
        <v>1871</v>
      </c>
      <c r="B39" s="541" t="s">
        <v>1872</v>
      </c>
      <c r="C39" s="606">
        <f>SUM(C36:C38)</f>
        <v>68591161</v>
      </c>
      <c r="E39" s="541">
        <v>520111001</v>
      </c>
      <c r="F39" s="541" t="s">
        <v>1628</v>
      </c>
      <c r="G39" s="627">
        <v>40909095</v>
      </c>
      <c r="H39" s="574"/>
      <c r="I39" s="574" t="s">
        <v>2419</v>
      </c>
      <c r="J39" s="574"/>
      <c r="K39" s="615"/>
      <c r="L39" s="615"/>
      <c r="M39" s="677"/>
      <c r="N39" s="677"/>
      <c r="O39" s="677"/>
      <c r="P39" s="677">
        <v>1554113776</v>
      </c>
      <c r="Q39" s="677"/>
      <c r="R39" s="677"/>
      <c r="S39" s="677"/>
      <c r="T39" s="677"/>
    </row>
    <row r="40" spans="1:22">
      <c r="A40" s="541" t="s">
        <v>1625</v>
      </c>
      <c r="B40" s="541" t="s">
        <v>1626</v>
      </c>
      <c r="C40" s="605"/>
      <c r="E40" s="541">
        <v>520111011</v>
      </c>
      <c r="F40" s="541" t="s">
        <v>1630</v>
      </c>
      <c r="G40" s="627">
        <v>292422172</v>
      </c>
      <c r="H40" s="574"/>
      <c r="I40" s="574" t="s">
        <v>2420</v>
      </c>
      <c r="J40" s="574"/>
      <c r="K40" s="615"/>
      <c r="L40" s="615"/>
      <c r="M40" s="677"/>
      <c r="N40" s="677">
        <v>40909095</v>
      </c>
      <c r="O40" s="677"/>
      <c r="P40" s="677"/>
      <c r="Q40" s="677"/>
      <c r="R40" s="677"/>
      <c r="S40" s="677"/>
      <c r="T40" s="677"/>
    </row>
    <row r="41" spans="1:22">
      <c r="A41" s="541" t="s">
        <v>1627</v>
      </c>
      <c r="B41" s="541" t="s">
        <v>1628</v>
      </c>
      <c r="C41" s="687">
        <v>40909095</v>
      </c>
      <c r="E41" s="677"/>
      <c r="F41" s="677" t="s">
        <v>2422</v>
      </c>
      <c r="G41" s="677">
        <v>1683298</v>
      </c>
      <c r="H41" s="574"/>
      <c r="I41" s="574" t="s">
        <v>2421</v>
      </c>
      <c r="J41" s="574"/>
      <c r="K41" s="615"/>
      <c r="L41" s="615"/>
      <c r="M41" s="677"/>
      <c r="N41" s="677">
        <v>292422172</v>
      </c>
      <c r="O41" s="677"/>
      <c r="P41" s="677"/>
      <c r="Q41" s="677"/>
      <c r="R41" s="677"/>
      <c r="S41" s="677"/>
      <c r="T41" s="677"/>
    </row>
    <row r="42" spans="1:22">
      <c r="A42" s="541" t="s">
        <v>1629</v>
      </c>
      <c r="B42" s="541" t="s">
        <v>1630</v>
      </c>
      <c r="C42" s="687">
        <v>292422172</v>
      </c>
      <c r="E42" s="541">
        <v>520111041</v>
      </c>
      <c r="F42" s="541" t="s">
        <v>1589</v>
      </c>
      <c r="G42" s="601">
        <v>4422618</v>
      </c>
      <c r="H42" s="574"/>
      <c r="I42" s="574" t="s">
        <v>2422</v>
      </c>
      <c r="J42" s="574"/>
      <c r="K42" s="615"/>
      <c r="L42" s="615"/>
      <c r="M42" s="677"/>
      <c r="N42" s="677">
        <v>1683298</v>
      </c>
      <c r="O42" s="677"/>
      <c r="P42" s="677"/>
      <c r="Q42" s="677"/>
      <c r="R42" s="677"/>
      <c r="S42" s="677"/>
      <c r="T42" s="677"/>
    </row>
    <row r="43" spans="1:22">
      <c r="A43" s="541" t="s">
        <v>2491</v>
      </c>
      <c r="B43" s="541" t="s">
        <v>2422</v>
      </c>
      <c r="C43" s="606">
        <v>1683298</v>
      </c>
      <c r="E43" s="541">
        <v>520111051</v>
      </c>
      <c r="F43" s="541" t="s">
        <v>1013</v>
      </c>
      <c r="G43" s="627"/>
      <c r="H43" s="574"/>
      <c r="I43" s="574" t="s">
        <v>2393</v>
      </c>
      <c r="J43" s="574"/>
      <c r="K43" s="615"/>
      <c r="L43" s="615"/>
      <c r="M43" s="677"/>
      <c r="N43" s="677">
        <v>4422618</v>
      </c>
      <c r="O43" s="677"/>
      <c r="P43" s="677"/>
      <c r="Q43" s="677"/>
      <c r="R43" s="677"/>
      <c r="S43" s="677"/>
      <c r="T43" s="677"/>
    </row>
    <row r="44" spans="1:22" s="590" customFormat="1">
      <c r="A44" s="541" t="s">
        <v>1631</v>
      </c>
      <c r="B44" s="541" t="s">
        <v>1589</v>
      </c>
      <c r="C44" s="687">
        <v>4422618</v>
      </c>
      <c r="D44"/>
      <c r="E44" s="541">
        <v>520111061</v>
      </c>
      <c r="F44" s="541" t="s">
        <v>1014</v>
      </c>
      <c r="G44" s="627">
        <v>72637263</v>
      </c>
      <c r="H44" s="574"/>
      <c r="I44" s="574" t="s">
        <v>2394</v>
      </c>
      <c r="J44" s="574"/>
      <c r="K44" s="615"/>
      <c r="L44" s="615"/>
      <c r="M44" s="677"/>
      <c r="N44" s="677">
        <v>72637263</v>
      </c>
      <c r="O44" s="677"/>
      <c r="P44" s="677"/>
      <c r="Q44" s="677"/>
      <c r="R44" s="677"/>
      <c r="S44" s="677"/>
      <c r="T44" s="677"/>
      <c r="U44"/>
      <c r="V44"/>
    </row>
    <row r="45" spans="1:22" s="590" customFormat="1">
      <c r="A45" s="607">
        <v>520111051</v>
      </c>
      <c r="B45" s="607" t="s">
        <v>1013</v>
      </c>
      <c r="C45" s="606"/>
      <c r="D45"/>
      <c r="E45" s="541">
        <v>520111067</v>
      </c>
      <c r="F45" s="541" t="s">
        <v>1015</v>
      </c>
      <c r="G45" s="627">
        <v>0</v>
      </c>
      <c r="H45" s="574"/>
      <c r="I45" s="574" t="s">
        <v>2423</v>
      </c>
      <c r="J45" s="574"/>
      <c r="K45" s="615"/>
      <c r="L45" s="615"/>
      <c r="M45" s="677"/>
      <c r="N45" s="677">
        <v>37754388</v>
      </c>
      <c r="O45" s="677"/>
      <c r="P45" s="677"/>
      <c r="Q45" s="677"/>
      <c r="R45" s="677"/>
      <c r="S45" s="677"/>
      <c r="T45" s="677"/>
      <c r="U45"/>
      <c r="V45"/>
    </row>
    <row r="46" spans="1:22" s="590" customFormat="1">
      <c r="A46" s="541" t="s">
        <v>1876</v>
      </c>
      <c r="B46" s="541" t="s">
        <v>1014</v>
      </c>
      <c r="C46" s="688">
        <v>72637263</v>
      </c>
      <c r="D46"/>
      <c r="E46" s="541">
        <v>520111071</v>
      </c>
      <c r="F46" s="541" t="s">
        <v>1016</v>
      </c>
      <c r="G46" s="627">
        <v>37754388</v>
      </c>
      <c r="H46" s="574"/>
      <c r="I46" s="574" t="s">
        <v>2424</v>
      </c>
      <c r="J46" s="574"/>
      <c r="K46" s="615"/>
      <c r="L46" s="615"/>
      <c r="M46" s="677"/>
      <c r="N46" s="677">
        <v>734686435</v>
      </c>
      <c r="O46" s="677"/>
      <c r="P46" s="677"/>
      <c r="Q46" s="677"/>
      <c r="R46" s="677"/>
      <c r="S46" s="677"/>
      <c r="T46" s="677"/>
      <c r="U46"/>
      <c r="V46"/>
    </row>
    <row r="47" spans="1:22">
      <c r="A47" s="541" t="s">
        <v>1877</v>
      </c>
      <c r="B47" s="541" t="s">
        <v>1015</v>
      </c>
      <c r="C47" s="606"/>
      <c r="E47" s="541">
        <v>520111081</v>
      </c>
      <c r="F47" s="541" t="s">
        <v>1633</v>
      </c>
      <c r="G47" s="627">
        <v>734686435</v>
      </c>
      <c r="H47" s="574"/>
      <c r="I47" s="574" t="s">
        <v>2425</v>
      </c>
      <c r="J47" s="574"/>
      <c r="K47" s="615"/>
      <c r="L47" s="615"/>
      <c r="M47" s="677"/>
      <c r="N47" s="677">
        <v>889559</v>
      </c>
      <c r="O47" s="677"/>
      <c r="P47" s="677"/>
      <c r="Q47" s="677"/>
      <c r="R47" s="677"/>
      <c r="S47" s="677"/>
      <c r="T47" s="677"/>
    </row>
    <row r="48" spans="1:22">
      <c r="A48" s="541" t="s">
        <v>1878</v>
      </c>
      <c r="B48" s="541" t="s">
        <v>1016</v>
      </c>
      <c r="C48" s="687">
        <v>37754388</v>
      </c>
      <c r="E48" s="541">
        <v>520111082</v>
      </c>
      <c r="F48" s="541" t="s">
        <v>1635</v>
      </c>
      <c r="G48" s="627">
        <v>889559</v>
      </c>
      <c r="H48" s="574"/>
      <c r="I48" s="574" t="s">
        <v>2426</v>
      </c>
      <c r="J48" s="574"/>
      <c r="K48" s="615"/>
      <c r="L48" s="615"/>
      <c r="M48" s="677"/>
      <c r="N48" s="677">
        <v>570018</v>
      </c>
      <c r="O48" s="677"/>
      <c r="P48" s="677"/>
      <c r="Q48" s="677"/>
      <c r="R48" s="677"/>
      <c r="S48" s="677"/>
      <c r="T48" s="677"/>
    </row>
    <row r="49" spans="1:22" s="590" customFormat="1">
      <c r="A49" s="541" t="s">
        <v>1632</v>
      </c>
      <c r="B49" s="541" t="s">
        <v>1633</v>
      </c>
      <c r="C49" s="687">
        <v>734686435</v>
      </c>
      <c r="D49"/>
      <c r="E49" s="541">
        <v>520111123</v>
      </c>
      <c r="F49" s="541" t="s">
        <v>1637</v>
      </c>
      <c r="G49" s="627">
        <v>570018</v>
      </c>
      <c r="H49" s="574"/>
      <c r="I49" s="574" t="s">
        <v>2427</v>
      </c>
      <c r="J49" s="574"/>
      <c r="K49" s="615"/>
      <c r="L49" s="615"/>
      <c r="M49" s="677"/>
      <c r="N49" s="677">
        <v>627998</v>
      </c>
      <c r="O49" s="677"/>
      <c r="P49" s="677"/>
      <c r="Q49" s="677"/>
      <c r="R49" s="677"/>
      <c r="S49" s="677"/>
      <c r="T49" s="677"/>
      <c r="U49"/>
      <c r="V49"/>
    </row>
    <row r="50" spans="1:22" s="590" customFormat="1">
      <c r="A50" s="541" t="s">
        <v>1634</v>
      </c>
      <c r="B50" s="541" t="s">
        <v>1635</v>
      </c>
      <c r="C50" s="687">
        <v>889559</v>
      </c>
      <c r="D50"/>
      <c r="E50" s="541">
        <v>520111124</v>
      </c>
      <c r="F50" s="541" t="s">
        <v>1850</v>
      </c>
      <c r="G50" s="601">
        <v>627998</v>
      </c>
      <c r="H50" s="574"/>
      <c r="I50" s="574" t="s">
        <v>2428</v>
      </c>
      <c r="J50" s="574"/>
      <c r="K50" s="615"/>
      <c r="L50" s="615"/>
      <c r="M50" s="677"/>
      <c r="N50" s="677">
        <v>69355641</v>
      </c>
      <c r="O50" s="677"/>
      <c r="P50" s="677"/>
      <c r="Q50" s="677"/>
      <c r="R50" s="677"/>
      <c r="S50" s="677"/>
      <c r="T50" s="677"/>
      <c r="U50"/>
      <c r="V50"/>
    </row>
    <row r="51" spans="1:22">
      <c r="A51" s="541" t="s">
        <v>1636</v>
      </c>
      <c r="B51" s="541" t="s">
        <v>1637</v>
      </c>
      <c r="C51" s="687">
        <v>570018</v>
      </c>
      <c r="E51" s="541">
        <v>520111125</v>
      </c>
      <c r="F51" s="541" t="s">
        <v>1639</v>
      </c>
      <c r="G51" s="601">
        <v>69355641</v>
      </c>
      <c r="H51" s="574"/>
      <c r="I51" s="574" t="s">
        <v>2429</v>
      </c>
      <c r="J51" s="574"/>
      <c r="K51" s="615"/>
      <c r="L51" s="615"/>
      <c r="M51" s="677"/>
      <c r="N51" s="677">
        <v>1267000</v>
      </c>
      <c r="O51" s="677"/>
      <c r="P51" s="677"/>
      <c r="Q51" s="677"/>
      <c r="R51" s="677"/>
      <c r="S51" s="677"/>
      <c r="T51" s="677"/>
    </row>
    <row r="52" spans="1:22">
      <c r="A52" s="541" t="s">
        <v>2491</v>
      </c>
      <c r="B52" s="541" t="s">
        <v>1850</v>
      </c>
      <c r="C52" s="606">
        <v>627998</v>
      </c>
      <c r="E52" s="541">
        <v>520111160</v>
      </c>
      <c r="F52" s="541" t="s">
        <v>1641</v>
      </c>
      <c r="G52" s="601">
        <v>1267000</v>
      </c>
      <c r="H52" s="574"/>
      <c r="I52" s="574" t="s">
        <v>2430</v>
      </c>
      <c r="J52" s="574"/>
      <c r="K52" s="615"/>
      <c r="L52" s="615"/>
      <c r="M52" s="677"/>
      <c r="N52" s="677">
        <v>4174698</v>
      </c>
      <c r="O52" s="677"/>
      <c r="P52" s="677"/>
      <c r="Q52" s="677"/>
      <c r="R52" s="677"/>
      <c r="S52" s="677"/>
      <c r="T52" s="677"/>
    </row>
    <row r="53" spans="1:22">
      <c r="A53" s="541" t="s">
        <v>1638</v>
      </c>
      <c r="B53" s="541" t="s">
        <v>1639</v>
      </c>
      <c r="C53" s="691">
        <v>69355641</v>
      </c>
      <c r="E53" s="541">
        <v>520111181</v>
      </c>
      <c r="F53" s="541" t="s">
        <v>1601</v>
      </c>
      <c r="G53" s="626">
        <v>4174698</v>
      </c>
      <c r="H53" s="574"/>
      <c r="I53" s="574" t="s">
        <v>2431</v>
      </c>
      <c r="J53" s="574"/>
      <c r="K53" s="615"/>
      <c r="L53" s="615"/>
      <c r="M53" s="681"/>
      <c r="N53" s="681">
        <v>37405232</v>
      </c>
      <c r="O53" s="681"/>
      <c r="P53" s="681"/>
      <c r="Q53" s="681"/>
      <c r="R53" s="681"/>
      <c r="S53" s="681"/>
      <c r="T53" s="681"/>
      <c r="U53" s="590"/>
      <c r="V53" s="590"/>
    </row>
    <row r="54" spans="1:22">
      <c r="A54" s="541" t="s">
        <v>2024</v>
      </c>
      <c r="B54" s="541" t="s">
        <v>1660</v>
      </c>
      <c r="C54" s="606">
        <v>0</v>
      </c>
      <c r="E54" s="541">
        <v>520111182</v>
      </c>
      <c r="F54" s="541" t="s">
        <v>1644</v>
      </c>
      <c r="G54" s="626">
        <v>37405232</v>
      </c>
      <c r="H54" s="574"/>
      <c r="I54" s="574" t="s">
        <v>2432</v>
      </c>
      <c r="J54" s="574"/>
      <c r="K54" s="615"/>
      <c r="L54" s="615"/>
      <c r="M54" s="681"/>
      <c r="N54" s="681">
        <v>26124041</v>
      </c>
      <c r="O54" s="681"/>
      <c r="P54" s="681"/>
      <c r="Q54" s="681"/>
      <c r="R54" s="681"/>
      <c r="S54" s="681"/>
      <c r="T54" s="681"/>
      <c r="U54" s="590"/>
      <c r="V54" s="590"/>
    </row>
    <row r="55" spans="1:22">
      <c r="A55" s="541" t="s">
        <v>1640</v>
      </c>
      <c r="B55" s="541" t="s">
        <v>1641</v>
      </c>
      <c r="C55" s="606">
        <v>1267000</v>
      </c>
      <c r="E55" s="541">
        <v>520111183</v>
      </c>
      <c r="F55" s="541" t="s">
        <v>1646</v>
      </c>
      <c r="G55" s="626">
        <v>26124041</v>
      </c>
      <c r="H55" s="502"/>
      <c r="I55" s="574" t="s">
        <v>2433</v>
      </c>
      <c r="J55" s="574"/>
      <c r="K55" s="615"/>
      <c r="L55" s="615"/>
      <c r="M55" s="681"/>
      <c r="N55" s="681">
        <v>5410000</v>
      </c>
      <c r="O55" s="681"/>
      <c r="P55" s="681"/>
      <c r="Q55" s="681"/>
      <c r="R55" s="681"/>
      <c r="S55" s="681"/>
      <c r="T55" s="681"/>
      <c r="U55" s="590"/>
      <c r="V55" s="590"/>
    </row>
    <row r="56" spans="1:22">
      <c r="A56" s="541" t="s">
        <v>1642</v>
      </c>
      <c r="B56" s="541" t="s">
        <v>1601</v>
      </c>
      <c r="C56" s="689">
        <v>4174698</v>
      </c>
      <c r="E56" s="541">
        <v>520111192</v>
      </c>
      <c r="F56" s="541" t="s">
        <v>1648</v>
      </c>
      <c r="G56" s="601">
        <v>5410000</v>
      </c>
      <c r="H56" s="574"/>
      <c r="I56" s="574" t="s">
        <v>2434</v>
      </c>
      <c r="J56" s="574"/>
      <c r="K56" s="615"/>
      <c r="L56" s="615"/>
      <c r="M56" s="677"/>
      <c r="N56" s="677">
        <v>82873266</v>
      </c>
      <c r="O56" s="677"/>
      <c r="P56" s="677"/>
      <c r="Q56" s="677"/>
      <c r="R56" s="677"/>
      <c r="S56" s="677"/>
      <c r="T56" s="677"/>
    </row>
    <row r="57" spans="1:22">
      <c r="A57" s="541" t="s">
        <v>1643</v>
      </c>
      <c r="B57" s="541" t="s">
        <v>1644</v>
      </c>
      <c r="C57" s="689">
        <v>37405232</v>
      </c>
      <c r="E57" s="599">
        <v>520111193</v>
      </c>
      <c r="F57" s="599" t="s">
        <v>2026</v>
      </c>
      <c r="G57" s="626"/>
      <c r="H57" s="574"/>
      <c r="I57" s="574" t="s">
        <v>2435</v>
      </c>
      <c r="J57" s="574"/>
      <c r="K57" s="615"/>
      <c r="L57" s="615"/>
      <c r="M57" s="677"/>
      <c r="N57" s="677">
        <v>43631137</v>
      </c>
      <c r="O57" s="677"/>
      <c r="P57" s="677"/>
      <c r="Q57" s="677"/>
      <c r="R57" s="677"/>
      <c r="S57" s="677"/>
      <c r="T57" s="677"/>
    </row>
    <row r="58" spans="1:22">
      <c r="A58" s="541" t="s">
        <v>1645</v>
      </c>
      <c r="B58" s="541" t="s">
        <v>1646</v>
      </c>
      <c r="C58" s="689">
        <v>26124041</v>
      </c>
      <c r="E58" s="541">
        <v>520111194</v>
      </c>
      <c r="F58" s="541" t="s">
        <v>1880</v>
      </c>
      <c r="G58" s="601"/>
      <c r="H58" s="574"/>
      <c r="I58" s="574" t="s">
        <v>2436</v>
      </c>
      <c r="J58" s="574"/>
      <c r="K58" s="615"/>
      <c r="L58" s="615"/>
      <c r="M58" s="681"/>
      <c r="N58" s="682">
        <v>17598967</v>
      </c>
      <c r="O58" s="681"/>
      <c r="P58" s="681"/>
      <c r="Q58" s="681"/>
      <c r="R58" s="681"/>
      <c r="S58" s="681"/>
      <c r="T58" s="681"/>
      <c r="U58" s="590"/>
      <c r="V58" s="590"/>
    </row>
    <row r="59" spans="1:22">
      <c r="A59" s="541" t="s">
        <v>1647</v>
      </c>
      <c r="B59" s="541" t="s">
        <v>1648</v>
      </c>
      <c r="C59" s="606">
        <v>5410000</v>
      </c>
      <c r="E59" s="541">
        <v>520111211</v>
      </c>
      <c r="F59" s="541" t="s">
        <v>1650</v>
      </c>
      <c r="G59" s="627">
        <v>82873266</v>
      </c>
      <c r="H59" s="574"/>
      <c r="I59" s="618" t="s">
        <v>2437</v>
      </c>
      <c r="J59" s="618"/>
      <c r="K59" s="618"/>
      <c r="L59" s="618"/>
      <c r="M59" s="681"/>
      <c r="N59" s="682">
        <v>71629831</v>
      </c>
      <c r="O59" s="681"/>
      <c r="P59" s="681"/>
      <c r="Q59" s="681"/>
      <c r="R59" s="681"/>
      <c r="S59" s="681"/>
      <c r="T59" s="681"/>
      <c r="U59" s="590"/>
      <c r="V59" s="590"/>
    </row>
    <row r="60" spans="1:22">
      <c r="A60" s="541" t="s">
        <v>2025</v>
      </c>
      <c r="B60" s="541" t="s">
        <v>2026</v>
      </c>
      <c r="C60" s="606"/>
      <c r="E60" s="541">
        <v>520111215</v>
      </c>
      <c r="F60" s="541" t="s">
        <v>905</v>
      </c>
      <c r="G60" s="627">
        <v>43631137</v>
      </c>
      <c r="H60" s="574"/>
      <c r="I60" s="574" t="s">
        <v>2438</v>
      </c>
      <c r="J60" s="574"/>
      <c r="K60" s="615"/>
      <c r="L60" s="615"/>
      <c r="M60" s="677"/>
      <c r="N60" s="677">
        <v>8041119</v>
      </c>
      <c r="O60" s="677"/>
      <c r="P60" s="677"/>
      <c r="Q60" s="677"/>
      <c r="R60" s="677"/>
      <c r="S60" s="677"/>
      <c r="T60" s="677"/>
    </row>
    <row r="61" spans="1:22">
      <c r="A61" s="541" t="s">
        <v>1879</v>
      </c>
      <c r="B61" s="541" t="s">
        <v>1880</v>
      </c>
      <c r="C61" s="606"/>
      <c r="E61" s="541">
        <v>520111248</v>
      </c>
      <c r="F61" s="541" t="s">
        <v>1899</v>
      </c>
      <c r="G61" s="627">
        <v>0</v>
      </c>
      <c r="H61" s="574"/>
      <c r="I61" s="574" t="s">
        <v>2439</v>
      </c>
      <c r="J61" s="574"/>
      <c r="K61" s="615"/>
      <c r="L61" s="615"/>
      <c r="M61" s="677"/>
      <c r="N61" s="677"/>
      <c r="O61" s="677"/>
      <c r="P61" s="677">
        <v>24918781</v>
      </c>
      <c r="Q61" s="677"/>
      <c r="R61" s="677"/>
      <c r="S61" s="677"/>
      <c r="T61" s="677"/>
    </row>
    <row r="62" spans="1:22">
      <c r="A62" s="541" t="s">
        <v>1649</v>
      </c>
      <c r="B62" s="541" t="s">
        <v>1650</v>
      </c>
      <c r="C62" s="687">
        <v>82873266</v>
      </c>
      <c r="E62" s="541">
        <v>520111250</v>
      </c>
      <c r="F62" s="541" t="s">
        <v>901</v>
      </c>
      <c r="G62" s="626">
        <v>89228798</v>
      </c>
      <c r="H62" s="574"/>
      <c r="I62" s="574" t="s">
        <v>2440</v>
      </c>
      <c r="J62" s="574"/>
      <c r="K62" s="615"/>
      <c r="L62" s="615"/>
      <c r="M62" s="677"/>
      <c r="N62" s="677">
        <v>135909</v>
      </c>
      <c r="O62" s="677"/>
      <c r="P62" s="677"/>
      <c r="Q62" s="677"/>
      <c r="R62" s="677"/>
      <c r="S62" s="677"/>
      <c r="T62" s="677"/>
    </row>
    <row r="63" spans="1:22">
      <c r="A63" s="541" t="s">
        <v>1651</v>
      </c>
      <c r="B63" s="541" t="s">
        <v>905</v>
      </c>
      <c r="C63" s="687">
        <v>43631137</v>
      </c>
      <c r="E63" s="541">
        <v>520111251</v>
      </c>
      <c r="F63" s="541" t="s">
        <v>1800</v>
      </c>
      <c r="G63" s="627">
        <v>8041119</v>
      </c>
      <c r="H63" s="574"/>
      <c r="I63" s="574" t="s">
        <v>2441</v>
      </c>
      <c r="J63" s="574"/>
      <c r="K63" s="615"/>
      <c r="L63" s="615"/>
      <c r="M63" s="677"/>
      <c r="N63" s="677">
        <v>5897254</v>
      </c>
      <c r="O63" s="677"/>
      <c r="P63" s="677"/>
      <c r="Q63" s="677"/>
      <c r="R63" s="677"/>
      <c r="S63" s="677"/>
      <c r="T63" s="677"/>
    </row>
    <row r="64" spans="1:22">
      <c r="A64" s="541" t="s">
        <v>1881</v>
      </c>
      <c r="B64" s="541" t="s">
        <v>1882</v>
      </c>
      <c r="C64" s="606"/>
      <c r="E64" s="541" t="s">
        <v>1625</v>
      </c>
      <c r="F64" s="541" t="s">
        <v>1626</v>
      </c>
      <c r="G64" s="615">
        <f>SUM(G39:G63)</f>
        <v>1554113776</v>
      </c>
      <c r="H64" s="574"/>
      <c r="I64" s="574" t="s">
        <v>2442</v>
      </c>
      <c r="J64" s="574"/>
      <c r="K64" s="615"/>
      <c r="L64" s="615"/>
      <c r="M64" s="677"/>
      <c r="N64" s="677">
        <v>5206364</v>
      </c>
      <c r="O64" s="677"/>
      <c r="P64" s="677"/>
      <c r="Q64" s="677"/>
      <c r="R64" s="677"/>
      <c r="S64" s="677"/>
      <c r="T64" s="677"/>
    </row>
    <row r="65" spans="1:20">
      <c r="A65" s="541" t="s">
        <v>1883</v>
      </c>
      <c r="B65" s="541" t="s">
        <v>1884</v>
      </c>
      <c r="C65" s="606">
        <v>17598967</v>
      </c>
      <c r="E65" s="541" t="s">
        <v>1655</v>
      </c>
      <c r="F65" s="541" t="s">
        <v>1656</v>
      </c>
      <c r="G65" s="616"/>
      <c r="H65" s="502"/>
      <c r="I65" s="574" t="s">
        <v>2443</v>
      </c>
      <c r="J65" s="574"/>
      <c r="K65" s="615"/>
      <c r="L65" s="615"/>
      <c r="M65" s="677"/>
      <c r="N65" s="677">
        <v>38182</v>
      </c>
      <c r="O65" s="677"/>
      <c r="P65" s="677"/>
      <c r="Q65" s="677"/>
      <c r="R65" s="677"/>
      <c r="S65" s="677"/>
      <c r="T65" s="677"/>
    </row>
    <row r="66" spans="1:20">
      <c r="A66" s="541" t="s">
        <v>1654</v>
      </c>
      <c r="B66" s="541" t="s">
        <v>901</v>
      </c>
      <c r="C66" s="689">
        <v>71629831</v>
      </c>
      <c r="E66" s="541" t="s">
        <v>1657</v>
      </c>
      <c r="F66" s="541" t="s">
        <v>1658</v>
      </c>
      <c r="G66" s="627">
        <v>0</v>
      </c>
      <c r="H66" s="502"/>
      <c r="I66" s="574" t="s">
        <v>2444</v>
      </c>
      <c r="J66" s="574"/>
      <c r="K66" s="615"/>
      <c r="L66" s="615"/>
      <c r="M66" s="677"/>
      <c r="N66" s="677">
        <v>13641072</v>
      </c>
      <c r="O66" s="677"/>
      <c r="P66" s="677"/>
      <c r="Q66" s="677"/>
      <c r="R66" s="677"/>
      <c r="S66" s="677"/>
      <c r="T66" s="677"/>
    </row>
    <row r="67" spans="1:20">
      <c r="A67" s="541" t="s">
        <v>1799</v>
      </c>
      <c r="B67" s="541" t="s">
        <v>1800</v>
      </c>
      <c r="C67" s="689">
        <v>8041119</v>
      </c>
      <c r="E67" s="541" t="s">
        <v>1659</v>
      </c>
      <c r="F67" s="541" t="s">
        <v>1660</v>
      </c>
      <c r="G67" s="627">
        <v>135909</v>
      </c>
      <c r="H67" s="574"/>
      <c r="I67" s="574"/>
      <c r="J67" s="574"/>
      <c r="K67" s="615"/>
      <c r="L67" s="615"/>
      <c r="M67" s="677"/>
      <c r="N67" s="677"/>
      <c r="O67" s="677"/>
      <c r="P67" s="677"/>
      <c r="Q67" s="677"/>
      <c r="R67" s="677"/>
      <c r="S67" s="677"/>
      <c r="T67" s="677"/>
    </row>
    <row r="68" spans="1:20">
      <c r="A68" s="541" t="s">
        <v>1625</v>
      </c>
      <c r="B68" s="541" t="s">
        <v>1626</v>
      </c>
      <c r="C68" s="606">
        <f>SUM(C41:C67)</f>
        <v>1554113776</v>
      </c>
      <c r="E68" s="599">
        <v>520115012</v>
      </c>
      <c r="F68" s="599" t="s">
        <v>1886</v>
      </c>
      <c r="G68" s="601">
        <v>0</v>
      </c>
      <c r="H68" s="574"/>
      <c r="I68" s="574"/>
      <c r="J68" s="574"/>
      <c r="K68" s="615"/>
      <c r="L68" s="615"/>
      <c r="M68" s="677"/>
      <c r="N68" s="677"/>
      <c r="O68" s="677"/>
      <c r="P68" s="677"/>
      <c r="Q68" s="677"/>
      <c r="R68" s="677"/>
      <c r="S68" s="677"/>
      <c r="T68" s="677"/>
    </row>
    <row r="69" spans="1:20">
      <c r="A69" s="541" t="s">
        <v>1655</v>
      </c>
      <c r="B69" s="541" t="s">
        <v>1656</v>
      </c>
      <c r="C69" s="606"/>
      <c r="E69" s="541" t="s">
        <v>1661</v>
      </c>
      <c r="F69" s="541" t="s">
        <v>1624</v>
      </c>
      <c r="G69" s="627">
        <v>5897254</v>
      </c>
      <c r="H69" s="574"/>
      <c r="I69" s="574"/>
      <c r="J69" s="574"/>
      <c r="K69" s="615"/>
      <c r="L69" s="615"/>
      <c r="M69" s="677"/>
      <c r="N69" s="677"/>
      <c r="O69" s="677"/>
      <c r="P69" s="677"/>
      <c r="Q69" s="677"/>
      <c r="R69" s="677"/>
      <c r="S69" s="677"/>
      <c r="T69" s="677"/>
    </row>
    <row r="70" spans="1:20">
      <c r="A70" s="541" t="s">
        <v>1657</v>
      </c>
      <c r="B70" s="541" t="s">
        <v>1658</v>
      </c>
      <c r="C70" s="687"/>
      <c r="E70" s="541" t="s">
        <v>1801</v>
      </c>
      <c r="F70" s="541" t="s">
        <v>1802</v>
      </c>
      <c r="G70" s="627">
        <v>5206364</v>
      </c>
      <c r="H70" s="574"/>
      <c r="I70" s="574"/>
      <c r="J70" s="574"/>
      <c r="K70" s="615"/>
      <c r="L70" s="615"/>
      <c r="M70" s="677"/>
      <c r="N70" s="677"/>
      <c r="O70" s="677"/>
      <c r="P70" s="677"/>
      <c r="Q70" s="677"/>
      <c r="R70" s="677"/>
      <c r="S70" s="677"/>
      <c r="T70" s="677"/>
    </row>
    <row r="71" spans="1:20">
      <c r="A71" s="541" t="s">
        <v>1659</v>
      </c>
      <c r="B71" s="541" t="s">
        <v>1660</v>
      </c>
      <c r="C71" s="687">
        <v>135909</v>
      </c>
      <c r="E71" s="541" t="s">
        <v>1803</v>
      </c>
      <c r="F71" s="541" t="s">
        <v>1804</v>
      </c>
      <c r="G71" s="601">
        <v>38182</v>
      </c>
      <c r="H71" s="574"/>
      <c r="I71" s="574"/>
      <c r="J71" s="574"/>
      <c r="K71" s="615"/>
      <c r="L71" s="615"/>
      <c r="M71" s="677"/>
      <c r="N71" s="677"/>
      <c r="O71" s="677"/>
      <c r="P71" s="677"/>
      <c r="Q71" s="677"/>
      <c r="R71" s="677"/>
      <c r="S71" s="677"/>
      <c r="T71" s="677"/>
    </row>
    <row r="72" spans="1:20">
      <c r="A72" s="541" t="s">
        <v>1885</v>
      </c>
      <c r="B72" s="541" t="s">
        <v>1886</v>
      </c>
      <c r="C72" s="606"/>
      <c r="E72" s="541" t="s">
        <v>2037</v>
      </c>
      <c r="F72" s="541" t="s">
        <v>1900</v>
      </c>
      <c r="G72" s="601"/>
      <c r="H72" s="502"/>
      <c r="I72" s="574"/>
      <c r="J72" s="574"/>
      <c r="K72" s="615"/>
      <c r="L72" s="615"/>
      <c r="M72" s="677"/>
      <c r="N72" s="677"/>
      <c r="O72" s="677"/>
      <c r="P72" s="677"/>
      <c r="Q72" s="677"/>
      <c r="R72" s="677"/>
      <c r="S72" s="677"/>
      <c r="T72" s="677"/>
    </row>
    <row r="73" spans="1:20">
      <c r="A73" s="541" t="s">
        <v>1661</v>
      </c>
      <c r="B73" s="541" t="s">
        <v>1624</v>
      </c>
      <c r="C73" s="688">
        <v>5897254</v>
      </c>
      <c r="E73" s="541" t="s">
        <v>1662</v>
      </c>
      <c r="F73" s="541" t="s">
        <v>1663</v>
      </c>
      <c r="G73" s="627">
        <v>13641072</v>
      </c>
      <c r="H73" s="574"/>
      <c r="I73" s="574"/>
      <c r="J73" s="574"/>
      <c r="K73" s="615"/>
      <c r="L73" s="615"/>
      <c r="M73" s="677"/>
      <c r="N73" s="677"/>
      <c r="O73" s="677"/>
      <c r="P73" s="677"/>
      <c r="Q73" s="677"/>
      <c r="R73" s="677"/>
      <c r="S73" s="677"/>
      <c r="T73" s="677"/>
    </row>
    <row r="74" spans="1:20">
      <c r="A74" s="541" t="s">
        <v>2491</v>
      </c>
      <c r="B74" s="541" t="s">
        <v>2442</v>
      </c>
      <c r="C74" s="688">
        <v>5206364</v>
      </c>
      <c r="E74" s="541" t="s">
        <v>1655</v>
      </c>
      <c r="F74" s="541" t="s">
        <v>1656</v>
      </c>
      <c r="G74" s="615">
        <f>SUM(G66:G73)</f>
        <v>24918781</v>
      </c>
      <c r="H74" s="574"/>
      <c r="I74" s="574"/>
      <c r="J74" s="574"/>
      <c r="K74" s="615"/>
      <c r="L74" s="615"/>
      <c r="M74" s="677"/>
      <c r="N74" s="677"/>
      <c r="O74" s="677"/>
      <c r="P74" s="677"/>
      <c r="Q74" s="677"/>
      <c r="R74" s="677"/>
      <c r="S74" s="677"/>
      <c r="T74" s="677"/>
    </row>
    <row r="75" spans="1:20">
      <c r="A75" s="541" t="s">
        <v>1803</v>
      </c>
      <c r="B75" s="541" t="s">
        <v>1804</v>
      </c>
      <c r="C75" s="606">
        <v>38182</v>
      </c>
      <c r="E75" s="541" t="s">
        <v>1582</v>
      </c>
      <c r="F75" s="541" t="s">
        <v>1583</v>
      </c>
      <c r="G75" s="615">
        <f>+G74+G64+G37+G33</f>
        <v>2507402539</v>
      </c>
      <c r="H75" s="574"/>
      <c r="I75" s="574"/>
      <c r="J75" s="574"/>
      <c r="K75" s="615"/>
      <c r="L75" s="615"/>
      <c r="M75" s="677"/>
      <c r="N75" s="677"/>
      <c r="O75" s="677"/>
      <c r="P75" s="677"/>
      <c r="Q75" s="677"/>
      <c r="R75" s="677"/>
      <c r="S75" s="677"/>
      <c r="T75" s="677"/>
    </row>
    <row r="76" spans="1:20">
      <c r="A76" s="607">
        <v>520115019</v>
      </c>
      <c r="B76" s="607" t="s">
        <v>2055</v>
      </c>
      <c r="C76" s="606"/>
      <c r="E76">
        <v>5211</v>
      </c>
      <c r="F76" t="s">
        <v>1665</v>
      </c>
      <c r="G76" s="616"/>
      <c r="H76" s="502"/>
      <c r="I76" s="574"/>
      <c r="J76" s="574"/>
      <c r="K76" s="615"/>
      <c r="L76" s="615"/>
      <c r="M76" s="677"/>
      <c r="N76" s="677"/>
      <c r="O76" s="677"/>
      <c r="P76" s="677"/>
      <c r="Q76" s="677"/>
      <c r="R76" s="677"/>
      <c r="S76" s="677"/>
      <c r="T76" s="677"/>
    </row>
    <row r="77" spans="1:20">
      <c r="A77" s="607">
        <v>520115023</v>
      </c>
      <c r="B77" s="607" t="s">
        <v>1900</v>
      </c>
      <c r="C77" s="606"/>
      <c r="E77" s="541" t="s">
        <v>1666</v>
      </c>
      <c r="F77" s="541" t="s">
        <v>1667</v>
      </c>
      <c r="G77" s="616"/>
      <c r="H77" s="574"/>
      <c r="I77" s="574" t="s">
        <v>2445</v>
      </c>
      <c r="J77" s="574"/>
      <c r="K77" s="616"/>
      <c r="L77" s="616"/>
      <c r="M77" s="677"/>
      <c r="N77" s="677"/>
      <c r="O77" s="677"/>
      <c r="P77" s="677"/>
      <c r="Q77" s="677">
        <v>190407038</v>
      </c>
      <c r="R77" s="677"/>
      <c r="S77" s="677"/>
      <c r="T77" s="677"/>
    </row>
    <row r="78" spans="1:20">
      <c r="A78" s="541" t="s">
        <v>1662</v>
      </c>
      <c r="B78" s="541" t="s">
        <v>1663</v>
      </c>
      <c r="C78" s="687">
        <v>13641072</v>
      </c>
      <c r="E78" s="541" t="s">
        <v>1805</v>
      </c>
      <c r="F78" s="541" t="s">
        <v>1576</v>
      </c>
      <c r="G78" s="600">
        <v>433963415</v>
      </c>
      <c r="H78" s="574"/>
      <c r="I78" s="574" t="s">
        <v>2446</v>
      </c>
      <c r="J78" s="574"/>
      <c r="K78" s="615"/>
      <c r="L78" s="615"/>
      <c r="M78" s="677"/>
      <c r="N78" s="677"/>
      <c r="O78" s="677"/>
      <c r="P78" s="677">
        <v>138589197</v>
      </c>
      <c r="Q78" s="677"/>
      <c r="R78" s="677"/>
      <c r="S78" s="677"/>
      <c r="T78" s="677"/>
    </row>
    <row r="79" spans="1:20">
      <c r="A79" s="541" t="s">
        <v>1655</v>
      </c>
      <c r="B79" s="541" t="s">
        <v>1656</v>
      </c>
      <c r="C79" s="606">
        <f>SUM(C70:C78)</f>
        <v>24918781</v>
      </c>
      <c r="E79" s="541" t="s">
        <v>1668</v>
      </c>
      <c r="F79" s="541" t="s">
        <v>1669</v>
      </c>
      <c r="G79" s="600">
        <v>4841818</v>
      </c>
      <c r="H79" s="502"/>
      <c r="I79" s="574" t="s">
        <v>2447</v>
      </c>
      <c r="J79" s="574"/>
      <c r="K79" s="615"/>
      <c r="L79" s="615"/>
      <c r="M79" s="677"/>
      <c r="N79" s="677">
        <v>85890443</v>
      </c>
      <c r="O79" s="677"/>
      <c r="P79" s="677"/>
      <c r="Q79" s="677"/>
      <c r="R79" s="677"/>
      <c r="S79" s="677"/>
      <c r="T79" s="677"/>
    </row>
    <row r="80" spans="1:20">
      <c r="A80" s="541" t="s">
        <v>1582</v>
      </c>
      <c r="B80" s="541" t="s">
        <v>1583</v>
      </c>
      <c r="C80" s="606">
        <f>+C79+C68+C39+C34</f>
        <v>2507402539</v>
      </c>
      <c r="E80" s="541" t="s">
        <v>1806</v>
      </c>
      <c r="F80" s="541" t="s">
        <v>1807</v>
      </c>
      <c r="G80" s="600">
        <v>5139856</v>
      </c>
      <c r="H80" s="574"/>
      <c r="I80" s="574" t="s">
        <v>2448</v>
      </c>
      <c r="J80" s="574"/>
      <c r="K80" s="615"/>
      <c r="L80" s="615"/>
      <c r="M80" s="677"/>
      <c r="N80" s="677">
        <v>6363636</v>
      </c>
      <c r="O80" s="677"/>
      <c r="P80" s="677"/>
      <c r="Q80" s="677"/>
      <c r="R80" s="677"/>
      <c r="S80" s="677"/>
      <c r="T80" s="677"/>
    </row>
    <row r="81" spans="1:20">
      <c r="A81" s="541" t="s">
        <v>1664</v>
      </c>
      <c r="B81" s="541" t="s">
        <v>1665</v>
      </c>
      <c r="C81" s="606"/>
      <c r="E81" s="541" t="s">
        <v>1887</v>
      </c>
      <c r="F81" s="541" t="s">
        <v>1888</v>
      </c>
      <c r="G81" s="600">
        <v>26095681</v>
      </c>
      <c r="H81" s="574"/>
      <c r="I81" s="574" t="s">
        <v>2449</v>
      </c>
      <c r="J81" s="574"/>
      <c r="K81" s="615"/>
      <c r="L81" s="615"/>
      <c r="M81" s="677"/>
      <c r="N81" s="677">
        <v>1005000</v>
      </c>
      <c r="O81" s="677"/>
      <c r="P81" s="677"/>
      <c r="Q81" s="677"/>
      <c r="R81" s="677"/>
      <c r="S81" s="677"/>
      <c r="T81" s="677"/>
    </row>
    <row r="82" spans="1:20">
      <c r="A82" s="541" t="s">
        <v>1666</v>
      </c>
      <c r="B82" s="541" t="s">
        <v>1667</v>
      </c>
      <c r="C82" s="606"/>
      <c r="E82" s="541" t="s">
        <v>1666</v>
      </c>
      <c r="F82" s="541" t="s">
        <v>1667</v>
      </c>
      <c r="G82" s="615">
        <v>470040770</v>
      </c>
      <c r="H82" s="574"/>
      <c r="I82" s="574" t="s">
        <v>2450</v>
      </c>
      <c r="J82" s="574"/>
      <c r="K82" s="615"/>
      <c r="L82" s="615"/>
      <c r="M82" s="677"/>
      <c r="N82" s="677">
        <v>33636364</v>
      </c>
      <c r="O82" s="677"/>
      <c r="P82" s="677"/>
      <c r="Q82" s="677"/>
      <c r="R82" s="677"/>
      <c r="S82" s="677"/>
      <c r="T82" s="677"/>
    </row>
    <row r="83" spans="1:20">
      <c r="A83" s="541" t="s">
        <v>1805</v>
      </c>
      <c r="B83" s="541" t="s">
        <v>1576</v>
      </c>
      <c r="C83" s="685">
        <v>85890443</v>
      </c>
      <c r="E83" s="541" t="s">
        <v>1670</v>
      </c>
      <c r="F83" s="541" t="s">
        <v>1671</v>
      </c>
      <c r="G83" s="616"/>
      <c r="H83" s="502"/>
      <c r="I83" s="574" t="s">
        <v>2451</v>
      </c>
      <c r="J83" s="574"/>
      <c r="K83" s="615"/>
      <c r="L83" s="615"/>
      <c r="M83" s="677"/>
      <c r="N83" s="677">
        <v>11693754</v>
      </c>
      <c r="O83" s="677"/>
      <c r="P83" s="677"/>
      <c r="Q83" s="677"/>
      <c r="R83" s="677"/>
      <c r="S83" s="677"/>
      <c r="T83" s="677"/>
    </row>
    <row r="84" spans="1:20">
      <c r="A84" s="607">
        <v>521101011</v>
      </c>
      <c r="B84" s="607" t="s">
        <v>2056</v>
      </c>
      <c r="C84" s="685">
        <v>6363636</v>
      </c>
      <c r="E84" s="599">
        <v>521110051</v>
      </c>
      <c r="F84" s="599" t="s">
        <v>1890</v>
      </c>
      <c r="G84" s="628">
        <v>357500</v>
      </c>
      <c r="H84" s="574"/>
      <c r="I84" s="574" t="s">
        <v>2452</v>
      </c>
      <c r="J84" s="574"/>
      <c r="K84" s="615"/>
      <c r="L84" s="615"/>
      <c r="M84" s="677"/>
      <c r="N84" s="677"/>
      <c r="O84" s="677"/>
      <c r="P84" s="677">
        <v>41762363</v>
      </c>
      <c r="Q84" s="677"/>
      <c r="R84" s="677"/>
      <c r="S84" s="677"/>
      <c r="T84" s="677"/>
    </row>
    <row r="85" spans="1:20">
      <c r="A85" s="541" t="s">
        <v>1668</v>
      </c>
      <c r="B85" s="541" t="s">
        <v>1669</v>
      </c>
      <c r="C85" s="685">
        <v>1005000</v>
      </c>
      <c r="E85" s="541">
        <v>521110063</v>
      </c>
      <c r="F85" s="541" t="s">
        <v>1017</v>
      </c>
      <c r="G85" s="626">
        <v>112297379</v>
      </c>
      <c r="H85" s="574"/>
      <c r="I85" s="574" t="s">
        <v>2453</v>
      </c>
      <c r="J85" s="574"/>
      <c r="K85" s="615"/>
      <c r="L85" s="615"/>
      <c r="M85" s="677"/>
      <c r="N85" s="677">
        <v>41762363</v>
      </c>
      <c r="O85" s="677"/>
      <c r="P85" s="677"/>
      <c r="Q85" s="677"/>
      <c r="R85" s="677"/>
      <c r="S85" s="677"/>
      <c r="T85" s="677"/>
    </row>
    <row r="86" spans="1:20">
      <c r="A86" s="541" t="s">
        <v>1806</v>
      </c>
      <c r="B86" s="541" t="s">
        <v>1807</v>
      </c>
      <c r="C86" s="686">
        <v>33636364</v>
      </c>
      <c r="E86" s="541">
        <v>521110064</v>
      </c>
      <c r="F86" s="541" t="s">
        <v>1017</v>
      </c>
      <c r="G86" s="626">
        <v>97363866</v>
      </c>
      <c r="H86" s="502"/>
      <c r="I86" s="574" t="s">
        <v>2454</v>
      </c>
      <c r="J86" s="574"/>
      <c r="K86" s="615"/>
      <c r="L86" s="615"/>
      <c r="M86" s="677"/>
      <c r="N86" s="677"/>
      <c r="O86" s="677"/>
      <c r="P86" s="677">
        <v>4272727</v>
      </c>
      <c r="Q86" s="677"/>
      <c r="R86" s="677"/>
      <c r="S86" s="677"/>
      <c r="T86" s="677"/>
    </row>
    <row r="87" spans="1:20">
      <c r="A87" s="541" t="s">
        <v>1887</v>
      </c>
      <c r="B87" s="541" t="s">
        <v>1888</v>
      </c>
      <c r="C87" s="686">
        <v>11693754</v>
      </c>
      <c r="E87" s="541">
        <v>521110</v>
      </c>
      <c r="F87" s="541" t="s">
        <v>1671</v>
      </c>
      <c r="G87" s="615">
        <v>210018745</v>
      </c>
      <c r="H87" s="574"/>
      <c r="I87" s="574" t="s">
        <v>2455</v>
      </c>
      <c r="J87" s="574"/>
      <c r="K87" s="615"/>
      <c r="L87" s="615"/>
      <c r="M87" s="677"/>
      <c r="N87" s="677">
        <v>4272727</v>
      </c>
      <c r="O87" s="677"/>
      <c r="P87" s="677"/>
      <c r="Q87" s="677"/>
      <c r="R87" s="677"/>
      <c r="S87" s="677"/>
      <c r="T87" s="677"/>
    </row>
    <row r="88" spans="1:20">
      <c r="A88" s="541" t="s">
        <v>1666</v>
      </c>
      <c r="B88" s="541" t="s">
        <v>1667</v>
      </c>
      <c r="C88" s="606">
        <f>SUM(C83:C87)</f>
        <v>138589197</v>
      </c>
      <c r="E88" s="541" t="s">
        <v>1673</v>
      </c>
      <c r="F88" s="541" t="s">
        <v>1674</v>
      </c>
      <c r="G88" s="616"/>
      <c r="H88" s="574"/>
      <c r="I88" s="677" t="s">
        <v>2456</v>
      </c>
      <c r="J88" s="677"/>
      <c r="K88" s="616"/>
      <c r="L88" s="616"/>
      <c r="M88" s="677"/>
      <c r="N88" s="677"/>
      <c r="O88" s="677"/>
      <c r="P88" s="677">
        <v>5782751</v>
      </c>
      <c r="Q88" s="677"/>
      <c r="R88" s="677"/>
      <c r="S88" s="677"/>
      <c r="T88" s="677"/>
    </row>
    <row r="89" spans="1:20">
      <c r="A89" s="541" t="s">
        <v>1670</v>
      </c>
      <c r="B89" s="541" t="s">
        <v>1671</v>
      </c>
      <c r="C89" s="606"/>
      <c r="E89" s="541" t="s">
        <v>1675</v>
      </c>
      <c r="F89" s="541" t="s">
        <v>1676</v>
      </c>
      <c r="G89" s="626">
        <v>58063336</v>
      </c>
      <c r="H89" s="574"/>
      <c r="I89" s="574" t="s">
        <v>2457</v>
      </c>
      <c r="J89" s="574"/>
      <c r="K89" s="616"/>
      <c r="L89" s="616"/>
      <c r="M89" s="677"/>
      <c r="N89" s="677">
        <v>5782751</v>
      </c>
      <c r="O89" s="677"/>
      <c r="P89" s="677"/>
      <c r="Q89" s="677"/>
      <c r="R89" s="677"/>
      <c r="S89" s="677"/>
      <c r="T89" s="677"/>
    </row>
    <row r="90" spans="1:20">
      <c r="A90" s="541" t="s">
        <v>1889</v>
      </c>
      <c r="B90" s="541" t="s">
        <v>1890</v>
      </c>
      <c r="C90" s="606"/>
      <c r="E90" s="541" t="s">
        <v>1673</v>
      </c>
      <c r="F90" s="541" t="s">
        <v>1674</v>
      </c>
      <c r="G90" s="615">
        <v>58063336</v>
      </c>
      <c r="H90" s="574"/>
      <c r="I90" s="574"/>
      <c r="J90" s="574"/>
      <c r="K90" s="616"/>
      <c r="L90" s="616"/>
      <c r="M90" s="677"/>
      <c r="N90" s="677"/>
      <c r="O90" s="677"/>
      <c r="P90" s="677"/>
      <c r="Q90" s="677"/>
      <c r="R90" s="677"/>
      <c r="S90" s="677"/>
      <c r="T90" s="677"/>
    </row>
    <row r="91" spans="1:20">
      <c r="A91" s="541" t="s">
        <v>1891</v>
      </c>
      <c r="B91" s="541" t="s">
        <v>1892</v>
      </c>
      <c r="C91" s="606"/>
      <c r="E91" s="541" t="s">
        <v>1810</v>
      </c>
      <c r="F91" s="541" t="s">
        <v>1811</v>
      </c>
      <c r="G91" s="616"/>
      <c r="H91" s="502"/>
      <c r="I91" s="574"/>
      <c r="J91" s="574"/>
      <c r="K91" s="616"/>
      <c r="L91" s="616"/>
      <c r="M91" s="677"/>
      <c r="N91" s="677"/>
      <c r="O91" s="677"/>
      <c r="P91" s="677"/>
      <c r="Q91" s="677"/>
      <c r="R91" s="677"/>
      <c r="S91" s="677"/>
      <c r="T91" s="677"/>
    </row>
    <row r="92" spans="1:20">
      <c r="A92" s="541" t="s">
        <v>1893</v>
      </c>
      <c r="B92" s="541" t="s">
        <v>1894</v>
      </c>
      <c r="C92" s="606"/>
      <c r="E92" s="541" t="s">
        <v>1812</v>
      </c>
      <c r="F92" s="541" t="s">
        <v>1813</v>
      </c>
      <c r="G92" s="626">
        <v>8818182</v>
      </c>
      <c r="H92" s="502"/>
      <c r="I92" s="574"/>
      <c r="J92" s="574"/>
      <c r="K92" s="616"/>
      <c r="L92" s="616"/>
      <c r="M92" s="677"/>
      <c r="N92" s="677"/>
      <c r="O92" s="677"/>
      <c r="P92" s="677"/>
      <c r="Q92" s="677"/>
      <c r="R92" s="677"/>
      <c r="S92" s="677"/>
      <c r="T92" s="677"/>
    </row>
    <row r="93" spans="1:20">
      <c r="A93" s="541" t="s">
        <v>2027</v>
      </c>
      <c r="B93" s="541" t="s">
        <v>2028</v>
      </c>
      <c r="C93" s="605"/>
      <c r="E93" s="593" t="s">
        <v>2038</v>
      </c>
      <c r="F93" s="593" t="s">
        <v>2039</v>
      </c>
      <c r="G93" s="626">
        <v>1390488</v>
      </c>
      <c r="H93" s="502"/>
      <c r="I93" s="574"/>
      <c r="J93" s="574"/>
      <c r="K93" s="616"/>
      <c r="L93" s="616"/>
      <c r="M93" s="677"/>
      <c r="N93" s="677"/>
      <c r="O93" s="677"/>
      <c r="P93" s="677"/>
      <c r="Q93" s="677"/>
      <c r="R93" s="677"/>
      <c r="S93" s="677"/>
      <c r="T93" s="677"/>
    </row>
    <row r="94" spans="1:20">
      <c r="A94" s="541" t="s">
        <v>1672</v>
      </c>
      <c r="B94" s="541" t="s">
        <v>1017</v>
      </c>
      <c r="C94" s="689">
        <v>41762363</v>
      </c>
      <c r="E94" s="541" t="s">
        <v>1810</v>
      </c>
      <c r="F94" s="541" t="s">
        <v>1811</v>
      </c>
      <c r="G94" s="615">
        <v>10208670</v>
      </c>
      <c r="H94" s="574"/>
      <c r="I94" s="574"/>
      <c r="J94" s="574"/>
      <c r="K94" s="616"/>
      <c r="L94" s="616"/>
      <c r="M94" s="677"/>
      <c r="N94" s="677"/>
      <c r="O94" s="677"/>
      <c r="P94" s="677"/>
      <c r="Q94" s="677"/>
      <c r="R94" s="677"/>
      <c r="S94" s="677"/>
      <c r="T94" s="677"/>
    </row>
    <row r="95" spans="1:20">
      <c r="A95" s="541" t="s">
        <v>1851</v>
      </c>
      <c r="B95" s="541" t="s">
        <v>1017</v>
      </c>
      <c r="C95" s="606"/>
      <c r="E95" s="541" t="s">
        <v>2040</v>
      </c>
      <c r="F95" s="541" t="s">
        <v>2041</v>
      </c>
      <c r="G95" s="616"/>
      <c r="H95" s="574"/>
      <c r="I95" s="574"/>
      <c r="J95" s="574"/>
      <c r="K95" s="616"/>
      <c r="L95" s="616"/>
      <c r="M95" s="677"/>
      <c r="N95" s="677"/>
      <c r="O95" s="677"/>
      <c r="P95" s="677"/>
      <c r="Q95" s="677"/>
      <c r="R95" s="677"/>
      <c r="S95" s="677"/>
      <c r="T95" s="677"/>
    </row>
    <row r="96" spans="1:20">
      <c r="A96" s="541" t="s">
        <v>1670</v>
      </c>
      <c r="B96" s="541" t="s">
        <v>1671</v>
      </c>
      <c r="C96" s="606">
        <f>SUM(C94:C95)</f>
        <v>41762363</v>
      </c>
      <c r="E96" s="593" t="s">
        <v>2042</v>
      </c>
      <c r="F96" s="593" t="s">
        <v>2043</v>
      </c>
      <c r="G96" s="626">
        <v>268842</v>
      </c>
      <c r="H96" s="574"/>
      <c r="I96" s="574"/>
      <c r="J96" s="574"/>
      <c r="K96" s="616"/>
      <c r="L96" s="616"/>
      <c r="M96" s="677"/>
      <c r="N96" s="677"/>
      <c r="O96" s="677"/>
      <c r="P96" s="677"/>
      <c r="Q96" s="677"/>
      <c r="R96" s="677"/>
      <c r="S96" s="677"/>
      <c r="T96" s="677"/>
    </row>
    <row r="97" spans="1:20">
      <c r="A97" s="541" t="s">
        <v>1673</v>
      </c>
      <c r="B97" s="541" t="s">
        <v>1674</v>
      </c>
      <c r="C97" s="606"/>
      <c r="E97" s="541" t="s">
        <v>2040</v>
      </c>
      <c r="F97" s="541" t="s">
        <v>2041</v>
      </c>
      <c r="G97" s="615">
        <v>268842</v>
      </c>
      <c r="H97" s="574"/>
      <c r="I97" s="574"/>
      <c r="J97" s="574"/>
      <c r="K97" s="616"/>
      <c r="L97" s="616"/>
      <c r="M97" s="677"/>
      <c r="N97" s="677"/>
      <c r="O97" s="677"/>
      <c r="P97" s="677"/>
      <c r="Q97" s="677"/>
      <c r="R97" s="677"/>
      <c r="S97" s="677"/>
      <c r="T97" s="677"/>
    </row>
    <row r="98" spans="1:20">
      <c r="A98" s="599">
        <v>521121011</v>
      </c>
      <c r="B98" s="599" t="s">
        <v>2057</v>
      </c>
      <c r="C98" s="606"/>
      <c r="E98" s="541" t="s">
        <v>1677</v>
      </c>
      <c r="F98" s="541" t="s">
        <v>1678</v>
      </c>
      <c r="G98" s="616"/>
      <c r="H98" s="574"/>
      <c r="I98" s="574"/>
      <c r="J98" s="574"/>
      <c r="K98" s="616"/>
      <c r="L98" s="616"/>
      <c r="M98" s="677"/>
      <c r="N98" s="677"/>
      <c r="O98" s="677"/>
      <c r="P98" s="677"/>
      <c r="Q98" s="677"/>
      <c r="R98" s="677"/>
      <c r="S98" s="677"/>
      <c r="T98" s="677"/>
    </row>
    <row r="99" spans="1:20">
      <c r="A99" s="541">
        <v>521121021</v>
      </c>
      <c r="B99" s="541" t="s">
        <v>1676</v>
      </c>
      <c r="C99" s="606"/>
      <c r="E99" s="541" t="s">
        <v>1679</v>
      </c>
      <c r="F99" s="541" t="s">
        <v>1680</v>
      </c>
      <c r="G99" s="626">
        <v>58184061</v>
      </c>
      <c r="H99" s="574"/>
      <c r="I99" s="574"/>
      <c r="J99" s="574"/>
      <c r="K99" s="616"/>
      <c r="L99" s="616"/>
      <c r="M99" s="677"/>
      <c r="N99" s="677"/>
      <c r="O99" s="677"/>
      <c r="P99" s="677"/>
      <c r="Q99" s="677"/>
      <c r="R99" s="677"/>
      <c r="S99" s="677"/>
      <c r="T99" s="677"/>
    </row>
    <row r="100" spans="1:20">
      <c r="A100" s="541">
        <v>521121</v>
      </c>
      <c r="B100" s="541" t="s">
        <v>1674</v>
      </c>
      <c r="C100" s="606">
        <f>SUM(C98:C99)</f>
        <v>0</v>
      </c>
      <c r="E100" s="541" t="s">
        <v>1677</v>
      </c>
      <c r="F100" s="541" t="s">
        <v>1678</v>
      </c>
      <c r="G100" s="615">
        <v>58184061</v>
      </c>
      <c r="H100" s="574"/>
      <c r="I100" s="574"/>
      <c r="J100" s="574"/>
      <c r="K100" s="616"/>
      <c r="L100" s="616"/>
      <c r="M100" s="677"/>
      <c r="N100" s="677"/>
      <c r="O100" s="677"/>
      <c r="P100" s="677"/>
      <c r="Q100" s="677"/>
      <c r="R100" s="677"/>
      <c r="S100" s="677"/>
      <c r="T100" s="677"/>
    </row>
    <row r="101" spans="1:20">
      <c r="A101" s="541" t="s">
        <v>1810</v>
      </c>
      <c r="B101" s="541" t="s">
        <v>1811</v>
      </c>
      <c r="C101" s="606"/>
      <c r="E101" s="541" t="s">
        <v>1664</v>
      </c>
      <c r="F101" s="541" t="s">
        <v>1665</v>
      </c>
      <c r="G101" s="615">
        <v>806784424</v>
      </c>
      <c r="H101" s="502"/>
      <c r="I101" s="574" t="s">
        <v>2458</v>
      </c>
      <c r="J101" s="574"/>
      <c r="K101" s="615"/>
      <c r="L101" s="615"/>
      <c r="M101" s="677"/>
      <c r="N101" s="677"/>
      <c r="O101" s="677"/>
      <c r="P101" s="677"/>
      <c r="Q101" s="677"/>
      <c r="R101" s="677"/>
      <c r="S101" s="677"/>
      <c r="T101" s="677">
        <v>321613921</v>
      </c>
    </row>
    <row r="102" spans="1:20">
      <c r="A102" s="541" t="s">
        <v>1812</v>
      </c>
      <c r="B102" s="541" t="s">
        <v>1813</v>
      </c>
      <c r="C102" s="690">
        <v>4272727</v>
      </c>
      <c r="E102" s="541" t="s">
        <v>1580</v>
      </c>
      <c r="F102" s="541" t="s">
        <v>1581</v>
      </c>
      <c r="G102" s="615">
        <v>10270579603</v>
      </c>
      <c r="H102" s="574"/>
      <c r="I102" s="574" t="s">
        <v>2459</v>
      </c>
      <c r="J102" s="574"/>
      <c r="K102" s="615"/>
      <c r="L102" s="615"/>
      <c r="M102" s="677"/>
      <c r="N102" s="677"/>
      <c r="O102" s="677"/>
      <c r="P102" s="677"/>
      <c r="Q102" s="677">
        <v>251788527</v>
      </c>
      <c r="R102" s="677"/>
      <c r="S102" s="677"/>
      <c r="T102" s="677"/>
    </row>
    <row r="103" spans="1:20">
      <c r="A103" s="541" t="s">
        <v>1810</v>
      </c>
      <c r="B103" s="541" t="s">
        <v>1811</v>
      </c>
      <c r="C103" s="606">
        <f>+C102</f>
        <v>4272727</v>
      </c>
      <c r="E103" s="541" t="s">
        <v>1681</v>
      </c>
      <c r="F103" s="541" t="s">
        <v>1682</v>
      </c>
      <c r="G103" s="616"/>
      <c r="H103" s="574"/>
      <c r="I103" s="574" t="s">
        <v>2460</v>
      </c>
      <c r="J103" s="574"/>
      <c r="K103" s="615"/>
      <c r="L103" s="615"/>
      <c r="M103" s="677"/>
      <c r="N103" s="677"/>
      <c r="O103" s="677"/>
      <c r="P103" s="677">
        <v>251788527</v>
      </c>
      <c r="Q103" s="677"/>
      <c r="R103" s="677"/>
      <c r="S103" s="677"/>
      <c r="T103" s="677"/>
    </row>
    <row r="104" spans="1:20">
      <c r="A104" s="541" t="s">
        <v>1677</v>
      </c>
      <c r="B104" s="541" t="s">
        <v>1678</v>
      </c>
      <c r="C104" s="606"/>
      <c r="E104" s="541" t="s">
        <v>1683</v>
      </c>
      <c r="F104" s="541" t="s">
        <v>1684</v>
      </c>
      <c r="G104" s="616"/>
      <c r="H104" s="574"/>
      <c r="I104" s="574" t="s">
        <v>2461</v>
      </c>
      <c r="J104" s="574"/>
      <c r="K104" s="615"/>
      <c r="L104" s="615"/>
      <c r="M104" s="677"/>
      <c r="N104" s="677">
        <v>20799491</v>
      </c>
      <c r="O104" s="677"/>
      <c r="P104" s="677"/>
      <c r="Q104" s="677"/>
      <c r="R104" s="677"/>
      <c r="S104" s="677"/>
      <c r="T104" s="677"/>
    </row>
    <row r="105" spans="1:20">
      <c r="A105" s="541" t="s">
        <v>1679</v>
      </c>
      <c r="B105" s="541" t="s">
        <v>1680</v>
      </c>
      <c r="C105" s="690">
        <v>5782751</v>
      </c>
      <c r="E105" s="541" t="s">
        <v>1685</v>
      </c>
      <c r="F105" s="541" t="s">
        <v>1686</v>
      </c>
      <c r="G105" s="616"/>
      <c r="H105" s="502"/>
      <c r="I105" s="574" t="s">
        <v>2462</v>
      </c>
      <c r="J105" s="574"/>
      <c r="K105" s="615"/>
      <c r="L105" s="615"/>
      <c r="M105" s="677"/>
      <c r="N105" s="677">
        <v>14861358</v>
      </c>
      <c r="O105" s="677"/>
      <c r="P105" s="677"/>
      <c r="Q105" s="677"/>
      <c r="R105" s="677"/>
      <c r="S105" s="677"/>
      <c r="T105" s="677"/>
    </row>
    <row r="106" spans="1:20">
      <c r="A106" s="541" t="s">
        <v>1677</v>
      </c>
      <c r="B106" s="541" t="s">
        <v>1678</v>
      </c>
      <c r="C106" s="606">
        <f>+C105</f>
        <v>5782751</v>
      </c>
      <c r="E106" s="541" t="s">
        <v>1687</v>
      </c>
      <c r="F106" s="541" t="s">
        <v>1688</v>
      </c>
      <c r="G106" s="626">
        <v>33328722</v>
      </c>
      <c r="H106" s="574"/>
      <c r="I106" s="574" t="s">
        <v>2463</v>
      </c>
      <c r="J106" s="574"/>
      <c r="K106" s="616"/>
      <c r="L106" s="616"/>
      <c r="M106" s="677"/>
      <c r="N106" s="677">
        <v>10755000</v>
      </c>
      <c r="O106" s="677"/>
      <c r="P106" s="677"/>
      <c r="Q106" s="677"/>
      <c r="R106" s="677"/>
      <c r="S106" s="677"/>
      <c r="T106" s="677"/>
    </row>
    <row r="107" spans="1:20">
      <c r="A107" s="541" t="s">
        <v>1664</v>
      </c>
      <c r="B107" s="541" t="s">
        <v>1665</v>
      </c>
      <c r="C107" s="606">
        <f>+C106+C103+C100+C96+C88</f>
        <v>190407038</v>
      </c>
      <c r="E107" s="541" t="s">
        <v>1689</v>
      </c>
      <c r="F107" s="541" t="s">
        <v>1690</v>
      </c>
      <c r="G107" s="626">
        <v>62596002</v>
      </c>
      <c r="H107" s="574"/>
      <c r="I107" s="618" t="s">
        <v>2464</v>
      </c>
      <c r="J107" s="618"/>
      <c r="K107" s="617"/>
      <c r="L107" s="617"/>
      <c r="M107" s="677"/>
      <c r="N107" s="677">
        <v>205372678</v>
      </c>
      <c r="O107" s="677"/>
      <c r="P107" s="677"/>
      <c r="Q107" s="677"/>
      <c r="R107" s="677"/>
      <c r="S107" s="677"/>
      <c r="T107" s="677"/>
    </row>
    <row r="108" spans="1:20">
      <c r="A108" s="541" t="s">
        <v>1580</v>
      </c>
      <c r="B108" s="541" t="s">
        <v>1581</v>
      </c>
      <c r="C108" s="605">
        <f>+C80+C107</f>
        <v>2697809577</v>
      </c>
      <c r="E108" s="541" t="s">
        <v>1691</v>
      </c>
      <c r="F108" s="541" t="s">
        <v>1692</v>
      </c>
      <c r="G108" s="626">
        <v>7953000</v>
      </c>
      <c r="H108" s="502"/>
      <c r="I108" s="574" t="s">
        <v>2465</v>
      </c>
      <c r="J108" s="574"/>
      <c r="K108" s="615"/>
      <c r="L108" s="615"/>
      <c r="M108" s="677"/>
      <c r="N108" s="677"/>
      <c r="O108" s="677"/>
      <c r="P108" s="677"/>
      <c r="Q108" s="677">
        <v>68954760</v>
      </c>
      <c r="R108" s="677"/>
      <c r="S108" s="677"/>
      <c r="T108" s="677"/>
    </row>
    <row r="109" spans="1:20">
      <c r="A109" s="541" t="s">
        <v>1681</v>
      </c>
      <c r="B109" s="541" t="s">
        <v>1682</v>
      </c>
      <c r="C109" s="606"/>
      <c r="E109" s="593" t="s">
        <v>1693</v>
      </c>
      <c r="F109" s="593" t="s">
        <v>1694</v>
      </c>
      <c r="G109" s="626">
        <v>237324</v>
      </c>
      <c r="H109" s="574"/>
      <c r="I109" s="574" t="s">
        <v>2466</v>
      </c>
      <c r="J109" s="574"/>
      <c r="K109" s="615"/>
      <c r="L109" s="615"/>
      <c r="M109" s="677"/>
      <c r="N109" s="677"/>
      <c r="O109" s="677"/>
      <c r="P109" s="677">
        <v>61657482</v>
      </c>
      <c r="Q109" s="677"/>
      <c r="R109" s="677"/>
      <c r="S109" s="677"/>
      <c r="T109" s="677"/>
    </row>
    <row r="110" spans="1:20">
      <c r="A110" s="541" t="s">
        <v>1683</v>
      </c>
      <c r="B110" s="541" t="s">
        <v>1684</v>
      </c>
      <c r="C110" s="606"/>
      <c r="E110" s="541" t="s">
        <v>1814</v>
      </c>
      <c r="F110" s="541" t="s">
        <v>1815</v>
      </c>
      <c r="G110" s="626">
        <v>527794628</v>
      </c>
      <c r="H110" s="574"/>
      <c r="I110" s="574" t="s">
        <v>2467</v>
      </c>
      <c r="J110" s="574"/>
      <c r="K110" s="615"/>
      <c r="L110" s="615"/>
      <c r="M110" s="677"/>
      <c r="N110" s="677"/>
      <c r="O110" s="677"/>
      <c r="P110" s="677">
        <v>7297278</v>
      </c>
      <c r="Q110" s="677"/>
      <c r="R110" s="677"/>
      <c r="S110" s="677"/>
      <c r="T110" s="677"/>
    </row>
    <row r="111" spans="1:20">
      <c r="A111" s="541" t="s">
        <v>1685</v>
      </c>
      <c r="B111" s="541" t="s">
        <v>1686</v>
      </c>
      <c r="C111" s="606"/>
      <c r="E111" s="541" t="s">
        <v>1685</v>
      </c>
      <c r="F111" s="541" t="s">
        <v>1686</v>
      </c>
      <c r="G111" s="615">
        <v>631909676</v>
      </c>
      <c r="H111" s="574"/>
      <c r="I111" s="574" t="s">
        <v>2468</v>
      </c>
      <c r="J111" s="574"/>
      <c r="K111" s="616"/>
      <c r="L111" s="616"/>
      <c r="M111" s="677"/>
      <c r="N111" s="677"/>
      <c r="O111" s="677"/>
      <c r="P111" s="677"/>
      <c r="Q111" s="677">
        <v>870634</v>
      </c>
      <c r="R111" s="677"/>
      <c r="S111" s="677"/>
      <c r="T111" s="677"/>
    </row>
    <row r="112" spans="1:20">
      <c r="A112" s="541" t="s">
        <v>1687</v>
      </c>
      <c r="B112" s="541" t="s">
        <v>1688</v>
      </c>
      <c r="C112" s="689">
        <v>20799491</v>
      </c>
      <c r="E112" s="541" t="s">
        <v>1683</v>
      </c>
      <c r="F112" s="541" t="s">
        <v>1684</v>
      </c>
      <c r="G112" s="615">
        <v>631909676</v>
      </c>
      <c r="H112" s="502"/>
      <c r="I112" s="574" t="s">
        <v>2469</v>
      </c>
      <c r="J112" s="574"/>
      <c r="K112" s="615"/>
      <c r="L112" s="615"/>
      <c r="M112" s="677"/>
      <c r="N112" s="677"/>
      <c r="O112" s="677"/>
      <c r="P112" s="677">
        <v>870634</v>
      </c>
      <c r="Q112" s="677"/>
      <c r="R112" s="677"/>
      <c r="S112" s="677"/>
      <c r="T112" s="677"/>
    </row>
    <row r="113" spans="1:20">
      <c r="A113" s="541" t="s">
        <v>1689</v>
      </c>
      <c r="B113" s="541" t="s">
        <v>1690</v>
      </c>
      <c r="C113" s="690">
        <v>14861358</v>
      </c>
      <c r="E113" s="541" t="s">
        <v>1816</v>
      </c>
      <c r="F113" s="541" t="s">
        <v>1817</v>
      </c>
      <c r="G113" s="616"/>
      <c r="H113" s="502"/>
      <c r="I113" s="574" t="s">
        <v>2470</v>
      </c>
      <c r="J113" s="574"/>
      <c r="K113" s="615"/>
      <c r="L113" s="615"/>
      <c r="M113" s="677"/>
      <c r="N113" s="677"/>
      <c r="O113" s="677"/>
      <c r="P113" s="677"/>
      <c r="Q113" s="677"/>
      <c r="R113" s="677"/>
      <c r="S113" s="677"/>
      <c r="T113" s="677">
        <v>242455947</v>
      </c>
    </row>
    <row r="114" spans="1:20">
      <c r="A114" s="541" t="s">
        <v>1895</v>
      </c>
      <c r="B114" s="541" t="s">
        <v>1896</v>
      </c>
      <c r="C114" s="605"/>
      <c r="E114" s="541" t="s">
        <v>1818</v>
      </c>
      <c r="F114" s="541" t="s">
        <v>1819</v>
      </c>
      <c r="G114" s="601">
        <v>256331376</v>
      </c>
      <c r="H114" s="502"/>
      <c r="I114" s="574" t="s">
        <v>2471</v>
      </c>
      <c r="J114" s="574"/>
      <c r="K114" s="616"/>
      <c r="L114" s="616"/>
      <c r="M114" s="677"/>
      <c r="N114" s="677"/>
      <c r="O114" s="677"/>
      <c r="P114" s="677"/>
      <c r="Q114" s="677">
        <v>242455947</v>
      </c>
      <c r="R114" s="677"/>
      <c r="S114" s="677"/>
      <c r="T114" s="677"/>
    </row>
    <row r="115" spans="1:20">
      <c r="A115" s="541" t="s">
        <v>1691</v>
      </c>
      <c r="B115" s="541" t="s">
        <v>1692</v>
      </c>
      <c r="C115" s="690">
        <v>10755000</v>
      </c>
      <c r="E115" s="541" t="s">
        <v>1820</v>
      </c>
      <c r="F115" s="541" t="s">
        <v>1821</v>
      </c>
      <c r="G115" s="601">
        <v>33006105</v>
      </c>
      <c r="H115" s="574"/>
      <c r="I115" s="574" t="s">
        <v>2472</v>
      </c>
      <c r="J115" s="574"/>
      <c r="K115" s="615"/>
      <c r="L115" s="615"/>
      <c r="M115" s="677"/>
      <c r="N115" s="677"/>
      <c r="O115" s="677"/>
      <c r="P115" s="677">
        <v>213222798</v>
      </c>
      <c r="Q115" s="677"/>
      <c r="R115" s="677"/>
      <c r="S115" s="677"/>
      <c r="T115" s="677"/>
    </row>
    <row r="116" spans="1:20">
      <c r="A116" s="541" t="s">
        <v>1814</v>
      </c>
      <c r="B116" s="541" t="s">
        <v>1815</v>
      </c>
      <c r="C116" s="689">
        <v>205372678</v>
      </c>
      <c r="E116" s="541" t="s">
        <v>1816</v>
      </c>
      <c r="F116" s="541" t="s">
        <v>1817</v>
      </c>
      <c r="G116" s="615">
        <v>289337481</v>
      </c>
      <c r="H116" s="574"/>
      <c r="I116" s="574" t="s">
        <v>2473</v>
      </c>
      <c r="J116" s="574"/>
      <c r="K116" s="615"/>
      <c r="L116" s="615"/>
      <c r="M116" s="677"/>
      <c r="N116" s="677">
        <v>199661780</v>
      </c>
      <c r="O116" s="677"/>
      <c r="P116" s="677"/>
      <c r="Q116" s="677"/>
      <c r="R116" s="677"/>
      <c r="S116" s="677"/>
      <c r="T116" s="677"/>
    </row>
    <row r="117" spans="1:20">
      <c r="A117" s="541" t="s">
        <v>1685</v>
      </c>
      <c r="B117" s="541" t="s">
        <v>1686</v>
      </c>
      <c r="C117" s="606">
        <f>SUM(C112:C116)</f>
        <v>251788527</v>
      </c>
      <c r="E117" s="541" t="s">
        <v>1822</v>
      </c>
      <c r="F117" s="541" t="s">
        <v>1823</v>
      </c>
      <c r="G117" s="616"/>
      <c r="H117" s="574"/>
      <c r="I117" s="574" t="s">
        <v>2474</v>
      </c>
      <c r="J117" s="574"/>
      <c r="K117" s="615"/>
      <c r="L117" s="615"/>
      <c r="M117" s="677"/>
      <c r="N117" s="677">
        <v>6001566</v>
      </c>
      <c r="O117" s="677"/>
      <c r="P117" s="677"/>
      <c r="Q117" s="677"/>
      <c r="R117" s="677"/>
      <c r="S117" s="677"/>
      <c r="T117" s="677"/>
    </row>
    <row r="118" spans="1:20">
      <c r="A118" s="541" t="s">
        <v>1683</v>
      </c>
      <c r="B118" s="541" t="s">
        <v>1684</v>
      </c>
      <c r="C118" s="606">
        <f>+C117</f>
        <v>251788527</v>
      </c>
      <c r="E118" s="541" t="s">
        <v>2029</v>
      </c>
      <c r="F118" s="541" t="s">
        <v>1901</v>
      </c>
      <c r="G118" s="627">
        <v>1909224</v>
      </c>
      <c r="H118" s="502"/>
      <c r="I118" s="574" t="s">
        <v>2475</v>
      </c>
      <c r="J118" s="574"/>
      <c r="K118" s="616"/>
      <c r="L118" s="616"/>
      <c r="M118" s="677"/>
      <c r="N118" s="677">
        <v>7559452</v>
      </c>
      <c r="O118" s="677"/>
      <c r="P118" s="677"/>
      <c r="Q118" s="677"/>
      <c r="R118" s="677"/>
      <c r="S118" s="677"/>
      <c r="T118" s="677"/>
    </row>
    <row r="119" spans="1:20">
      <c r="A119" s="541" t="s">
        <v>1816</v>
      </c>
      <c r="B119" s="541" t="s">
        <v>1817</v>
      </c>
      <c r="C119" s="606"/>
      <c r="E119" s="541" t="s">
        <v>1822</v>
      </c>
      <c r="F119" s="541" t="s">
        <v>1823</v>
      </c>
      <c r="G119" s="615">
        <v>1909224</v>
      </c>
      <c r="H119" s="574"/>
      <c r="I119" s="574" t="s">
        <v>2476</v>
      </c>
      <c r="J119" s="574"/>
      <c r="K119" s="615"/>
      <c r="L119" s="615"/>
      <c r="M119" s="677"/>
      <c r="N119" s="677"/>
      <c r="O119" s="677"/>
      <c r="P119" s="677">
        <v>29233149</v>
      </c>
      <c r="Q119" s="677"/>
      <c r="R119" s="677"/>
      <c r="S119" s="677"/>
      <c r="T119" s="677"/>
    </row>
    <row r="120" spans="1:20">
      <c r="A120" s="541" t="s">
        <v>1818</v>
      </c>
      <c r="B120" s="541" t="s">
        <v>1819</v>
      </c>
      <c r="C120" s="691">
        <v>61657482</v>
      </c>
      <c r="E120" s="541" t="s">
        <v>1695</v>
      </c>
      <c r="F120" s="541" t="s">
        <v>1696</v>
      </c>
      <c r="G120" s="616"/>
      <c r="H120" s="574"/>
      <c r="I120" s="574" t="s">
        <v>2477</v>
      </c>
      <c r="J120" s="574"/>
      <c r="K120" s="615"/>
      <c r="L120" s="615"/>
      <c r="M120" s="677"/>
      <c r="N120" s="677">
        <v>29083149</v>
      </c>
      <c r="O120" s="677"/>
      <c r="P120" s="677"/>
      <c r="Q120" s="677"/>
      <c r="R120" s="677"/>
      <c r="S120" s="677"/>
      <c r="T120" s="677"/>
    </row>
    <row r="121" spans="1:20">
      <c r="A121" s="541" t="s">
        <v>1820</v>
      </c>
      <c r="B121" s="541" t="s">
        <v>1821</v>
      </c>
      <c r="C121" s="691">
        <v>7297278</v>
      </c>
      <c r="E121" s="541" t="s">
        <v>1697</v>
      </c>
      <c r="F121" s="541" t="s">
        <v>1698</v>
      </c>
      <c r="G121" s="627">
        <v>110312374</v>
      </c>
      <c r="H121" s="574"/>
      <c r="I121" s="574" t="s">
        <v>2478</v>
      </c>
      <c r="J121" s="574"/>
      <c r="K121" s="616"/>
      <c r="L121" s="616"/>
      <c r="M121" s="677"/>
      <c r="N121" s="677">
        <v>150000</v>
      </c>
      <c r="O121" s="677"/>
      <c r="P121" s="677"/>
      <c r="Q121" s="677"/>
      <c r="R121" s="677"/>
      <c r="S121" s="677"/>
      <c r="T121" s="677"/>
    </row>
    <row r="122" spans="1:20">
      <c r="A122" s="541" t="s">
        <v>1816</v>
      </c>
      <c r="B122" s="541" t="s">
        <v>1817</v>
      </c>
      <c r="C122" s="606">
        <f>SUM(C120:C121)</f>
        <v>68954760</v>
      </c>
      <c r="E122" s="541" t="s">
        <v>1695</v>
      </c>
      <c r="F122" s="541" t="s">
        <v>1696</v>
      </c>
      <c r="G122" s="615">
        <v>110312374</v>
      </c>
      <c r="H122" s="574"/>
      <c r="I122" s="574" t="s">
        <v>2479</v>
      </c>
      <c r="J122" s="574"/>
      <c r="K122" s="615"/>
      <c r="L122" s="615"/>
      <c r="M122" s="677"/>
      <c r="N122" s="677"/>
      <c r="O122" s="677"/>
      <c r="P122" s="677"/>
      <c r="Q122" s="677"/>
      <c r="R122" s="677"/>
      <c r="S122" s="677"/>
      <c r="T122" s="677"/>
    </row>
    <row r="123" spans="1:20">
      <c r="A123" s="541" t="s">
        <v>1822</v>
      </c>
      <c r="B123" s="541" t="s">
        <v>1823</v>
      </c>
      <c r="C123" s="605"/>
      <c r="E123" s="541" t="s">
        <v>1681</v>
      </c>
      <c r="F123" s="541" t="s">
        <v>1682</v>
      </c>
      <c r="G123" s="615">
        <v>1033468755</v>
      </c>
      <c r="H123" s="574"/>
      <c r="I123" s="574"/>
      <c r="J123" s="574"/>
      <c r="K123" s="615"/>
      <c r="L123" s="615"/>
      <c r="M123" s="677"/>
      <c r="N123" s="677"/>
      <c r="O123" s="677"/>
      <c r="P123" s="677"/>
      <c r="Q123" s="677"/>
      <c r="R123" s="677"/>
      <c r="S123" s="677"/>
      <c r="T123" s="677"/>
    </row>
    <row r="124" spans="1:20">
      <c r="A124" s="599">
        <v>530302</v>
      </c>
      <c r="B124" s="599" t="s">
        <v>1824</v>
      </c>
      <c r="C124" s="690"/>
      <c r="E124" s="541" t="s">
        <v>1699</v>
      </c>
      <c r="F124" s="541" t="s">
        <v>1700</v>
      </c>
      <c r="G124" s="616"/>
      <c r="H124" s="574"/>
      <c r="I124" s="541"/>
      <c r="J124" s="541"/>
      <c r="K124" s="615"/>
      <c r="L124" s="615"/>
    </row>
    <row r="125" spans="1:20">
      <c r="A125" s="541" t="s">
        <v>2029</v>
      </c>
      <c r="B125" s="541" t="s">
        <v>1901</v>
      </c>
      <c r="C125" s="689">
        <v>870634</v>
      </c>
      <c r="E125" s="541" t="s">
        <v>1701</v>
      </c>
      <c r="F125" s="541" t="s">
        <v>1700</v>
      </c>
      <c r="G125" s="616"/>
      <c r="H125" s="574"/>
      <c r="I125" s="541"/>
      <c r="J125" s="541"/>
      <c r="K125" s="615"/>
      <c r="L125" s="615"/>
    </row>
    <row r="126" spans="1:20">
      <c r="A126" s="541" t="s">
        <v>1822</v>
      </c>
      <c r="B126" s="541" t="s">
        <v>1823</v>
      </c>
      <c r="C126" s="606">
        <f>+C125</f>
        <v>870634</v>
      </c>
      <c r="E126" s="541" t="s">
        <v>1702</v>
      </c>
      <c r="F126" s="541" t="s">
        <v>1703</v>
      </c>
      <c r="G126" s="616"/>
      <c r="H126" s="574"/>
      <c r="I126" s="541"/>
      <c r="J126" s="541"/>
      <c r="K126" s="616"/>
      <c r="L126" s="616"/>
    </row>
    <row r="127" spans="1:20">
      <c r="A127" s="541" t="s">
        <v>1695</v>
      </c>
      <c r="B127" s="541" t="s">
        <v>1696</v>
      </c>
      <c r="C127" s="606"/>
      <c r="E127" s="541" t="s">
        <v>1704</v>
      </c>
      <c r="F127" s="541" t="s">
        <v>1705</v>
      </c>
      <c r="G127" s="615">
        <v>238547418</v>
      </c>
      <c r="I127" s="541"/>
      <c r="J127" s="541"/>
      <c r="K127" s="616"/>
      <c r="L127" s="616"/>
    </row>
    <row r="128" spans="1:20">
      <c r="A128" s="541" t="s">
        <v>1697</v>
      </c>
      <c r="B128" s="541" t="s">
        <v>1698</v>
      </c>
      <c r="C128" s="688">
        <v>17413720</v>
      </c>
      <c r="E128" s="541" t="s">
        <v>1706</v>
      </c>
      <c r="F128" s="541" t="s">
        <v>1707</v>
      </c>
      <c r="G128" s="615">
        <v>24356684</v>
      </c>
      <c r="I128" s="541"/>
      <c r="J128" s="541"/>
      <c r="K128" s="616"/>
      <c r="L128" s="616"/>
    </row>
    <row r="129" spans="1:12">
      <c r="A129" s="541" t="s">
        <v>1695</v>
      </c>
      <c r="B129" s="541" t="s">
        <v>1696</v>
      </c>
      <c r="C129" s="606">
        <f>+C128</f>
        <v>17413720</v>
      </c>
      <c r="E129" s="541" t="s">
        <v>1702</v>
      </c>
      <c r="F129" s="541" t="s">
        <v>1703</v>
      </c>
      <c r="G129" s="615">
        <v>262904102</v>
      </c>
      <c r="I129" s="541"/>
      <c r="J129" s="541"/>
      <c r="K129" s="615"/>
      <c r="L129" s="615"/>
    </row>
    <row r="130" spans="1:12">
      <c r="A130" s="541" t="s">
        <v>1681</v>
      </c>
      <c r="B130" s="541" t="s">
        <v>1682</v>
      </c>
      <c r="C130" s="606">
        <f>+C129+C126+C122+C118</f>
        <v>339027641</v>
      </c>
      <c r="E130" s="541" t="s">
        <v>1708</v>
      </c>
      <c r="F130" s="541" t="s">
        <v>1709</v>
      </c>
      <c r="G130" s="616"/>
      <c r="I130" s="541"/>
      <c r="J130" s="541"/>
      <c r="K130" s="615"/>
      <c r="L130" s="615"/>
    </row>
    <row r="131" spans="1:12">
      <c r="A131" s="541" t="s">
        <v>1699</v>
      </c>
      <c r="B131" s="541" t="s">
        <v>1700</v>
      </c>
      <c r="C131" s="605"/>
      <c r="E131" s="541" t="s">
        <v>1710</v>
      </c>
      <c r="F131" s="541" t="s">
        <v>1711</v>
      </c>
      <c r="G131" s="601">
        <v>432027022</v>
      </c>
      <c r="I131" s="541"/>
      <c r="J131" s="541"/>
      <c r="K131" s="615"/>
      <c r="L131" s="615"/>
    </row>
    <row r="132" spans="1:12">
      <c r="A132" s="541" t="s">
        <v>1701</v>
      </c>
      <c r="B132" s="541" t="s">
        <v>1700</v>
      </c>
      <c r="C132" s="606"/>
      <c r="E132" s="599">
        <v>540111091</v>
      </c>
      <c r="F132" s="599" t="s">
        <v>2078</v>
      </c>
      <c r="G132" s="601">
        <v>400</v>
      </c>
      <c r="I132" s="541"/>
      <c r="J132" s="541"/>
      <c r="K132" s="615"/>
      <c r="L132" s="615"/>
    </row>
    <row r="133" spans="1:12">
      <c r="A133" s="541" t="s">
        <v>1702</v>
      </c>
      <c r="B133" s="541" t="s">
        <v>1703</v>
      </c>
      <c r="C133" s="606"/>
      <c r="E133" s="541" t="s">
        <v>1712</v>
      </c>
      <c r="F133" s="541" t="s">
        <v>1713</v>
      </c>
      <c r="G133" s="626">
        <v>684000</v>
      </c>
      <c r="I133" s="541"/>
      <c r="J133" s="541"/>
      <c r="K133" s="615"/>
      <c r="L133" s="615"/>
    </row>
    <row r="134" spans="1:12">
      <c r="A134" s="541" t="s">
        <v>1897</v>
      </c>
      <c r="B134" s="541" t="s">
        <v>1898</v>
      </c>
      <c r="C134" s="606">
        <v>199661780</v>
      </c>
      <c r="E134" s="541" t="s">
        <v>1708</v>
      </c>
      <c r="F134" s="541" t="s">
        <v>1709</v>
      </c>
      <c r="G134" s="615">
        <v>432711422</v>
      </c>
      <c r="I134" s="541"/>
      <c r="J134" s="541"/>
      <c r="K134" s="615"/>
      <c r="L134" s="615"/>
    </row>
    <row r="135" spans="1:12">
      <c r="A135" s="541" t="s">
        <v>1704</v>
      </c>
      <c r="B135" s="541" t="s">
        <v>1705</v>
      </c>
      <c r="C135" s="605"/>
      <c r="E135" s="541" t="s">
        <v>1701</v>
      </c>
      <c r="F135" s="541" t="s">
        <v>1700</v>
      </c>
      <c r="G135" s="615">
        <v>695615524</v>
      </c>
      <c r="I135" s="541"/>
      <c r="J135" s="541"/>
      <c r="K135" s="615"/>
      <c r="L135" s="615"/>
    </row>
    <row r="136" spans="1:12">
      <c r="A136" s="541" t="s">
        <v>1706</v>
      </c>
      <c r="B136" s="541" t="s">
        <v>1707</v>
      </c>
      <c r="C136" s="605">
        <v>6001566</v>
      </c>
      <c r="E136" s="541" t="s">
        <v>1699</v>
      </c>
      <c r="F136" s="541" t="s">
        <v>1700</v>
      </c>
      <c r="G136" s="615">
        <v>695615524</v>
      </c>
      <c r="I136" s="541"/>
      <c r="J136" s="541"/>
      <c r="K136" s="616"/>
      <c r="L136" s="616"/>
    </row>
    <row r="137" spans="1:12">
      <c r="A137" s="541" t="s">
        <v>2491</v>
      </c>
      <c r="B137" s="541" t="s">
        <v>2475</v>
      </c>
      <c r="C137" s="605">
        <v>7559452</v>
      </c>
      <c r="E137" s="541"/>
      <c r="F137" s="541"/>
      <c r="G137" s="615"/>
      <c r="I137" s="541"/>
      <c r="J137" s="541"/>
      <c r="K137" s="616"/>
      <c r="L137" s="616"/>
    </row>
    <row r="138" spans="1:12">
      <c r="A138" s="541" t="s">
        <v>1702</v>
      </c>
      <c r="B138" s="541" t="s">
        <v>1703</v>
      </c>
      <c r="C138" s="605">
        <f>SUM(C134:C137)</f>
        <v>213222798</v>
      </c>
      <c r="E138" s="541">
        <v>55</v>
      </c>
      <c r="F138" s="541" t="s">
        <v>2060</v>
      </c>
      <c r="G138" s="615"/>
      <c r="I138" s="541"/>
      <c r="J138" s="541"/>
      <c r="K138" s="615"/>
      <c r="L138" s="615"/>
    </row>
    <row r="139" spans="1:12">
      <c r="A139" s="541" t="s">
        <v>1708</v>
      </c>
      <c r="B139" s="541" t="s">
        <v>1709</v>
      </c>
      <c r="C139" s="606"/>
      <c r="E139" s="541">
        <v>5501</v>
      </c>
      <c r="F139" s="541" t="s">
        <v>2060</v>
      </c>
      <c r="G139" s="615"/>
      <c r="I139" s="541"/>
      <c r="J139" s="541"/>
      <c r="K139" s="615"/>
      <c r="L139" s="615"/>
    </row>
    <row r="140" spans="1:12">
      <c r="A140" s="541">
        <v>540111001</v>
      </c>
      <c r="B140" s="541" t="s">
        <v>1711</v>
      </c>
      <c r="C140" s="691">
        <v>29083149</v>
      </c>
      <c r="E140" s="541">
        <v>550101</v>
      </c>
      <c r="F140" s="541" t="s">
        <v>2061</v>
      </c>
      <c r="G140" s="615"/>
      <c r="I140" s="541"/>
      <c r="J140" s="541"/>
      <c r="K140" s="615"/>
      <c r="L140" s="615"/>
    </row>
    <row r="141" spans="1:12">
      <c r="A141" s="599">
        <v>540111013</v>
      </c>
      <c r="B141" s="599" t="s">
        <v>2058</v>
      </c>
      <c r="C141" s="606"/>
      <c r="E141">
        <v>550101001</v>
      </c>
      <c r="F141" t="s">
        <v>1088</v>
      </c>
      <c r="G141" s="617">
        <v>341927720</v>
      </c>
      <c r="I141" s="541"/>
      <c r="J141" s="541"/>
      <c r="K141" s="616"/>
      <c r="L141" s="616"/>
    </row>
    <row r="142" spans="1:12">
      <c r="A142" s="541">
        <v>540111150</v>
      </c>
      <c r="B142" s="541" t="s">
        <v>1713</v>
      </c>
      <c r="C142" s="689">
        <v>150000</v>
      </c>
      <c r="E142">
        <v>550101</v>
      </c>
      <c r="F142" t="s">
        <v>2061</v>
      </c>
      <c r="G142" s="616">
        <v>341927720</v>
      </c>
      <c r="I142" s="541"/>
      <c r="J142" s="541"/>
      <c r="K142" s="615"/>
      <c r="L142" s="615"/>
    </row>
    <row r="143" spans="1:12">
      <c r="A143" s="599">
        <v>540111151</v>
      </c>
      <c r="B143" s="599" t="s">
        <v>2059</v>
      </c>
      <c r="C143" s="606"/>
      <c r="E143">
        <v>5501</v>
      </c>
      <c r="F143" t="s">
        <v>2060</v>
      </c>
      <c r="G143" s="616">
        <v>341927720</v>
      </c>
      <c r="I143" s="541"/>
      <c r="J143" s="541"/>
      <c r="K143" s="615"/>
      <c r="L143" s="615"/>
    </row>
    <row r="144" spans="1:12">
      <c r="A144" s="541">
        <v>540111</v>
      </c>
      <c r="B144" s="541" t="s">
        <v>1709</v>
      </c>
      <c r="C144" s="606">
        <f>SUM(C139:C143)</f>
        <v>29233149</v>
      </c>
      <c r="E144">
        <v>55</v>
      </c>
      <c r="F144" t="s">
        <v>2060</v>
      </c>
      <c r="G144" s="616">
        <v>341927720</v>
      </c>
      <c r="I144" s="541"/>
      <c r="J144" s="541"/>
      <c r="K144" s="616"/>
      <c r="L144" s="616"/>
    </row>
    <row r="145" spans="1:12">
      <c r="A145" s="541">
        <v>5401</v>
      </c>
      <c r="B145" s="541" t="s">
        <v>1700</v>
      </c>
      <c r="C145" s="605">
        <f>+C144+C138</f>
        <v>242455947</v>
      </c>
      <c r="E145">
        <v>5</v>
      </c>
      <c r="F145" t="s">
        <v>1579</v>
      </c>
      <c r="G145" s="616">
        <v>12341591602</v>
      </c>
      <c r="I145" s="541"/>
      <c r="J145" s="541"/>
      <c r="K145" s="615"/>
      <c r="L145" s="615"/>
    </row>
    <row r="146" spans="1:12">
      <c r="A146" s="541">
        <v>54</v>
      </c>
      <c r="B146" s="541" t="s">
        <v>1700</v>
      </c>
      <c r="C146" s="606">
        <f>+C145</f>
        <v>242455947</v>
      </c>
      <c r="E146" t="s">
        <v>1394</v>
      </c>
      <c r="F146" t="s">
        <v>1395</v>
      </c>
      <c r="G146" s="616">
        <v>-2400778696</v>
      </c>
      <c r="I146" s="541"/>
      <c r="J146" s="541"/>
      <c r="K146" s="615"/>
      <c r="L146" s="615"/>
    </row>
    <row r="147" spans="1:12">
      <c r="A147" s="541">
        <v>55</v>
      </c>
      <c r="B147" s="541" t="s">
        <v>2060</v>
      </c>
      <c r="C147" s="606"/>
      <c r="E147" t="s">
        <v>1394</v>
      </c>
      <c r="F147" t="s">
        <v>1714</v>
      </c>
      <c r="G147" s="616">
        <v>0</v>
      </c>
      <c r="I147" s="541"/>
      <c r="J147" s="541"/>
      <c r="K147" s="615"/>
      <c r="L147" s="615"/>
    </row>
    <row r="148" spans="1:12">
      <c r="A148" s="541">
        <v>5501</v>
      </c>
      <c r="B148" s="541" t="s">
        <v>2060</v>
      </c>
      <c r="C148" s="606"/>
      <c r="I148" s="541"/>
      <c r="J148" s="541"/>
      <c r="K148" s="616"/>
      <c r="L148" s="616"/>
    </row>
    <row r="149" spans="1:12">
      <c r="A149" s="541">
        <v>550101</v>
      </c>
      <c r="B149" s="541" t="s">
        <v>2061</v>
      </c>
      <c r="C149" s="606"/>
      <c r="I149" s="541"/>
      <c r="J149" s="541"/>
      <c r="K149" s="616"/>
      <c r="L149" s="616"/>
    </row>
    <row r="150" spans="1:12">
      <c r="A150" s="541">
        <v>550101001</v>
      </c>
      <c r="B150" s="541" t="s">
        <v>1088</v>
      </c>
      <c r="C150" s="606"/>
      <c r="I150" s="541"/>
      <c r="J150" s="541"/>
      <c r="K150" s="616"/>
      <c r="L150" s="616"/>
    </row>
    <row r="151" spans="1:12">
      <c r="A151" s="541">
        <v>550101</v>
      </c>
      <c r="B151" s="541" t="s">
        <v>2061</v>
      </c>
      <c r="C151" s="606"/>
      <c r="I151" s="541"/>
      <c r="J151" s="541"/>
      <c r="K151" s="615"/>
      <c r="L151" s="615"/>
    </row>
    <row r="152" spans="1:12">
      <c r="A152" s="541">
        <v>5501</v>
      </c>
      <c r="B152" s="541" t="s">
        <v>2060</v>
      </c>
      <c r="C152" s="606"/>
      <c r="I152" s="541"/>
      <c r="J152" s="541"/>
      <c r="K152" s="615"/>
      <c r="L152" s="615"/>
    </row>
    <row r="153" spans="1:12">
      <c r="A153" s="541">
        <v>55</v>
      </c>
      <c r="B153" s="541" t="s">
        <v>2060</v>
      </c>
      <c r="C153" s="606"/>
      <c r="I153" s="541"/>
      <c r="J153" s="541"/>
      <c r="K153" s="615"/>
      <c r="L153" s="615"/>
    </row>
    <row r="154" spans="1:12">
      <c r="A154" s="541">
        <v>5</v>
      </c>
      <c r="B154" s="541" t="s">
        <v>1579</v>
      </c>
      <c r="C154" s="606">
        <f>+C146+C130+C108</f>
        <v>3279293165</v>
      </c>
      <c r="D154" s="636">
        <f>+C154-'2024'!C578</f>
        <v>0</v>
      </c>
      <c r="I154" s="541"/>
      <c r="J154" s="541"/>
      <c r="K154" s="616"/>
      <c r="L154" s="616"/>
    </row>
    <row r="155" spans="1:12">
      <c r="A155" s="541" t="s">
        <v>1394</v>
      </c>
      <c r="B155" s="541" t="s">
        <v>1395</v>
      </c>
      <c r="C155" s="606"/>
      <c r="I155" s="541"/>
      <c r="J155" s="541"/>
      <c r="K155" s="615"/>
      <c r="L155" s="615"/>
    </row>
    <row r="156" spans="1:12">
      <c r="A156" s="545" t="s">
        <v>1394</v>
      </c>
      <c r="B156" s="545" t="s">
        <v>1714</v>
      </c>
      <c r="C156" s="605">
        <v>0</v>
      </c>
      <c r="I156" s="599"/>
      <c r="J156" s="599"/>
      <c r="K156" s="618"/>
      <c r="L156" s="618"/>
    </row>
    <row r="157" spans="1:12">
      <c r="A157" t="s">
        <v>2491</v>
      </c>
      <c r="I157" s="541"/>
      <c r="J157" s="541"/>
      <c r="K157" s="615"/>
      <c r="L157" s="615"/>
    </row>
    <row r="158" spans="1:12">
      <c r="A158" s="541" t="s">
        <v>2491</v>
      </c>
      <c r="I158" s="541"/>
      <c r="J158" s="541"/>
      <c r="K158" s="615"/>
      <c r="L158" s="615"/>
    </row>
    <row r="159" spans="1:12">
      <c r="A159" s="541" t="s">
        <v>2491</v>
      </c>
      <c r="I159" s="541"/>
      <c r="J159" s="541"/>
      <c r="K159" s="615"/>
      <c r="L159" s="615"/>
    </row>
    <row r="160" spans="1:12">
      <c r="A160" s="541" t="s">
        <v>2491</v>
      </c>
      <c r="I160" s="541"/>
      <c r="J160" s="541"/>
      <c r="K160" s="615"/>
      <c r="L160" s="615"/>
    </row>
    <row r="161" spans="1:12">
      <c r="A161" s="541" t="s">
        <v>2491</v>
      </c>
      <c r="I161" s="541"/>
      <c r="J161" s="541"/>
      <c r="K161" s="615"/>
      <c r="L161" s="615"/>
    </row>
    <row r="162" spans="1:12">
      <c r="A162" s="541" t="s">
        <v>2491</v>
      </c>
      <c r="I162" s="541"/>
      <c r="J162" s="541"/>
      <c r="K162" s="615"/>
      <c r="L162" s="615"/>
    </row>
    <row r="163" spans="1:12">
      <c r="A163" s="541" t="s">
        <v>2491</v>
      </c>
      <c r="I163" s="541"/>
      <c r="J163" s="541"/>
      <c r="K163" s="615"/>
      <c r="L163" s="615"/>
    </row>
    <row r="164" spans="1:12">
      <c r="A164" s="541" t="s">
        <v>2491</v>
      </c>
      <c r="K164" s="617"/>
      <c r="L164" s="616"/>
    </row>
    <row r="165" spans="1:12">
      <c r="A165" s="541" t="s">
        <v>2491</v>
      </c>
      <c r="K165" s="616"/>
      <c r="L165" s="616"/>
    </row>
    <row r="166" spans="1:12">
      <c r="A166" s="541" t="s">
        <v>2491</v>
      </c>
      <c r="K166" s="616"/>
      <c r="L166" s="616"/>
    </row>
    <row r="167" spans="1:12">
      <c r="A167" s="541" t="s">
        <v>2491</v>
      </c>
      <c r="K167" s="616"/>
      <c r="L167" s="616"/>
    </row>
    <row r="168" spans="1:12">
      <c r="A168" s="541" t="s">
        <v>2491</v>
      </c>
      <c r="K168" s="616"/>
      <c r="L168" s="616"/>
    </row>
    <row r="169" spans="1:12">
      <c r="A169" s="541" t="s">
        <v>2491</v>
      </c>
      <c r="K169" s="616"/>
      <c r="L169" s="616"/>
    </row>
    <row r="170" spans="1:12">
      <c r="A170" s="541" t="s">
        <v>2491</v>
      </c>
      <c r="K170" s="616"/>
      <c r="L170" s="616"/>
    </row>
    <row r="171" spans="1:12">
      <c r="A171" s="541" t="s">
        <v>2491</v>
      </c>
      <c r="I171" s="541"/>
      <c r="J171" s="541"/>
      <c r="K171" s="589"/>
    </row>
    <row r="172" spans="1:12">
      <c r="A172" s="541" t="s">
        <v>2491</v>
      </c>
      <c r="I172" s="541"/>
      <c r="J172" s="541"/>
      <c r="K172" s="589"/>
    </row>
    <row r="173" spans="1:12">
      <c r="A173" s="541" t="s">
        <v>2491</v>
      </c>
      <c r="I173" s="541"/>
      <c r="J173" s="541"/>
      <c r="K173" s="589"/>
    </row>
    <row r="174" spans="1:12">
      <c r="A174" s="541" t="s">
        <v>2491</v>
      </c>
      <c r="I174" s="541"/>
      <c r="J174" s="541"/>
      <c r="K174" s="589"/>
    </row>
    <row r="175" spans="1:12">
      <c r="A175" s="541" t="s">
        <v>2491</v>
      </c>
      <c r="I175" s="545"/>
      <c r="J175" s="545"/>
      <c r="K175" s="596"/>
    </row>
    <row r="176" spans="1:12">
      <c r="A176" s="541" t="s">
        <v>2491</v>
      </c>
    </row>
    <row r="177" spans="1:1">
      <c r="A177" s="541" t="s">
        <v>2491</v>
      </c>
    </row>
    <row r="178" spans="1:1">
      <c r="A178" s="541" t="s">
        <v>2491</v>
      </c>
    </row>
    <row r="179" spans="1:1">
      <c r="A179" s="541" t="s">
        <v>2491</v>
      </c>
    </row>
    <row r="180" spans="1:1">
      <c r="A180" s="541" t="s">
        <v>2491</v>
      </c>
    </row>
    <row r="181" spans="1:1">
      <c r="A181" s="541" t="s">
        <v>2491</v>
      </c>
    </row>
    <row r="182" spans="1:1">
      <c r="A182" s="541" t="s">
        <v>2491</v>
      </c>
    </row>
    <row r="183" spans="1:1">
      <c r="A183" s="541" t="s">
        <v>2491</v>
      </c>
    </row>
    <row r="184" spans="1:1">
      <c r="A184" s="541" t="s">
        <v>2491</v>
      </c>
    </row>
    <row r="185" spans="1:1">
      <c r="A185" s="541" t="s">
        <v>2491</v>
      </c>
    </row>
    <row r="186" spans="1:1">
      <c r="A186" s="541" t="s">
        <v>2491</v>
      </c>
    </row>
    <row r="187" spans="1:1">
      <c r="A187" s="541" t="s">
        <v>2491</v>
      </c>
    </row>
    <row r="188" spans="1:1">
      <c r="A188" s="541" t="s">
        <v>2491</v>
      </c>
    </row>
    <row r="189" spans="1:1">
      <c r="A189" s="541" t="s">
        <v>2491</v>
      </c>
    </row>
    <row r="190" spans="1:1">
      <c r="A190" s="541" t="s">
        <v>2491</v>
      </c>
    </row>
    <row r="191" spans="1:1">
      <c r="A191" s="541" t="s">
        <v>2491</v>
      </c>
    </row>
    <row r="192" spans="1:1">
      <c r="A192" s="541" t="s">
        <v>2491</v>
      </c>
    </row>
    <row r="193" spans="1:1">
      <c r="A193" s="541" t="s">
        <v>2491</v>
      </c>
    </row>
  </sheetData>
  <autoFilter ref="A2:G193" xr:uid="{00000000-0009-0000-0000-000024000000}"/>
  <mergeCells count="2">
    <mergeCell ref="A1:C1"/>
    <mergeCell ref="E1:G1"/>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5" tint="-0.499984740745262"/>
    <pageSetUpPr fitToPage="1"/>
  </sheetPr>
  <dimension ref="A1:AI60"/>
  <sheetViews>
    <sheetView zoomScale="85" zoomScaleNormal="85" workbookViewId="0">
      <pane xSplit="1" topLeftCell="B1" activePane="topRight" state="frozen"/>
      <selection activeCell="A10" sqref="A10"/>
      <selection pane="topRight" activeCell="I1" sqref="I1"/>
    </sheetView>
  </sheetViews>
  <sheetFormatPr baseColWidth="10" defaultRowHeight="15"/>
  <cols>
    <col min="1" max="1" width="38" style="133" customWidth="1"/>
    <col min="2" max="9" width="23" style="133" customWidth="1"/>
    <col min="10" max="35" width="11.5703125" style="133" customWidth="1"/>
  </cols>
  <sheetData>
    <row r="1" spans="1:35">
      <c r="I1" s="153" t="s">
        <v>70</v>
      </c>
    </row>
    <row r="5" spans="1:35">
      <c r="A5" s="125" t="s">
        <v>413</v>
      </c>
      <c r="B5" s="125"/>
      <c r="C5" s="125"/>
      <c r="D5" s="125"/>
      <c r="E5" s="125"/>
      <c r="F5" s="125"/>
      <c r="G5" s="125"/>
      <c r="H5" s="125"/>
      <c r="I5" s="125"/>
      <c r="J5" s="125"/>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row>
    <row r="6" spans="1:35">
      <c r="A6" s="831" t="s">
        <v>414</v>
      </c>
      <c r="B6" s="831"/>
      <c r="C6" s="831"/>
      <c r="D6" s="831"/>
      <c r="E6" s="831"/>
      <c r="F6" s="831"/>
      <c r="G6" s="831"/>
      <c r="H6" s="831"/>
      <c r="I6" s="831"/>
      <c r="J6" s="831"/>
    </row>
    <row r="7" spans="1:35" s="294" customFormat="1">
      <c r="A7" s="293"/>
      <c r="B7" s="293"/>
      <c r="C7" s="293"/>
      <c r="D7" s="293"/>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row>
    <row r="8" spans="1:35" s="294" customFormat="1">
      <c r="A8" s="293" t="s">
        <v>415</v>
      </c>
      <c r="B8" s="293"/>
      <c r="C8" s="293"/>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row>
    <row r="9" spans="1:35" s="294" customFormat="1">
      <c r="A9" s="293"/>
      <c r="B9" s="293"/>
      <c r="C9" s="293"/>
      <c r="D9" s="293"/>
      <c r="E9" s="293"/>
      <c r="F9" s="29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row>
    <row r="10" spans="1:35" s="294" customFormat="1" ht="15.75" thickBot="1">
      <c r="A10" s="295" t="s">
        <v>2084</v>
      </c>
      <c r="B10" s="293"/>
      <c r="E10" s="295"/>
      <c r="F10" s="295"/>
      <c r="G10" s="296"/>
      <c r="H10" s="296"/>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3"/>
      <c r="AI10" s="293"/>
    </row>
    <row r="11" spans="1:35" s="294" customFormat="1" ht="15.75" thickBot="1">
      <c r="A11" s="832"/>
      <c r="B11" s="297"/>
      <c r="C11" s="298">
        <v>2024</v>
      </c>
      <c r="D11" s="298"/>
      <c r="E11" s="299"/>
      <c r="F11" s="834">
        <v>2023</v>
      </c>
      <c r="G11" s="835"/>
      <c r="H11" s="835"/>
      <c r="I11" s="836"/>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row>
    <row r="12" spans="1:35" s="294" customFormat="1" ht="15.75" thickBot="1">
      <c r="A12" s="833"/>
      <c r="B12" s="300" t="s">
        <v>416</v>
      </c>
      <c r="C12" s="300" t="s">
        <v>417</v>
      </c>
      <c r="D12" s="300" t="s">
        <v>900</v>
      </c>
      <c r="E12" s="300" t="s">
        <v>161</v>
      </c>
      <c r="F12" s="300" t="s">
        <v>416</v>
      </c>
      <c r="G12" s="300" t="s">
        <v>417</v>
      </c>
      <c r="H12" s="300" t="s">
        <v>900</v>
      </c>
      <c r="I12" s="300" t="s">
        <v>161</v>
      </c>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3"/>
      <c r="AG12" s="293"/>
      <c r="AH12" s="293"/>
      <c r="AI12" s="293"/>
    </row>
    <row r="13" spans="1:35" s="294" customFormat="1">
      <c r="A13" s="493" t="s">
        <v>418</v>
      </c>
      <c r="B13" s="390">
        <f>+'Detalle 27'!C29+'Detalle 27'!C13+'Detalle 27'!C18</f>
        <v>61741757</v>
      </c>
      <c r="C13" s="391"/>
      <c r="D13" s="391"/>
      <c r="E13" s="391">
        <f>+C13+B13+D13</f>
        <v>61741757</v>
      </c>
      <c r="F13" s="390">
        <v>44716704</v>
      </c>
      <c r="G13" s="391"/>
      <c r="H13" s="391"/>
      <c r="I13" s="391">
        <f>+G13+F13+H13</f>
        <v>44716704</v>
      </c>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row>
    <row r="14" spans="1:35" s="294" customFormat="1">
      <c r="A14" s="494" t="s">
        <v>1010</v>
      </c>
      <c r="B14" s="390">
        <f>+'Detalle 27'!C12</f>
        <v>29059548</v>
      </c>
      <c r="C14" s="393">
        <f>+'Detalle 27'!C62</f>
        <v>82873266</v>
      </c>
      <c r="D14" s="393"/>
      <c r="E14" s="391">
        <f t="shared" ref="E14:E49" si="0">+C14+B14+D14</f>
        <v>111932814</v>
      </c>
      <c r="F14" s="392">
        <v>53724739</v>
      </c>
      <c r="G14" s="393">
        <v>168107259</v>
      </c>
      <c r="H14" s="393"/>
      <c r="I14" s="391">
        <f t="shared" ref="I14:I49" si="1">+G14+F14+H14</f>
        <v>221831998</v>
      </c>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row>
    <row r="15" spans="1:35" s="294" customFormat="1">
      <c r="A15" s="494" t="s">
        <v>1012</v>
      </c>
      <c r="B15" s="390"/>
      <c r="C15" s="393"/>
      <c r="D15" s="393">
        <f>+'Detalle 27'!C142</f>
        <v>150000</v>
      </c>
      <c r="E15" s="391">
        <f t="shared" si="0"/>
        <v>150000</v>
      </c>
      <c r="F15" s="392"/>
      <c r="G15" s="393"/>
      <c r="H15" s="393">
        <v>100000</v>
      </c>
      <c r="I15" s="391">
        <f t="shared" si="1"/>
        <v>100000</v>
      </c>
      <c r="J15" s="293"/>
      <c r="K15" s="293"/>
      <c r="L15" s="293"/>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row>
    <row r="16" spans="1:35" s="294" customFormat="1">
      <c r="A16" s="494" t="s">
        <v>419</v>
      </c>
      <c r="B16" s="390"/>
      <c r="C16" s="393">
        <f>+'Detalle 27'!C27</f>
        <v>0</v>
      </c>
      <c r="D16" s="393">
        <f>+'Detalle 27'!C99</f>
        <v>0</v>
      </c>
      <c r="E16" s="391">
        <f t="shared" si="0"/>
        <v>0</v>
      </c>
      <c r="F16" s="393"/>
      <c r="G16" s="393">
        <v>29483192</v>
      </c>
      <c r="H16" s="393"/>
      <c r="I16" s="391">
        <f t="shared" si="1"/>
        <v>29483192</v>
      </c>
      <c r="J16" s="293"/>
      <c r="K16" s="293"/>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3"/>
      <c r="AI16" s="293"/>
    </row>
    <row r="17" spans="1:35" s="294" customFormat="1">
      <c r="A17" s="494" t="s">
        <v>420</v>
      </c>
      <c r="B17" s="390"/>
      <c r="C17" s="393">
        <f>+'Detalle 27'!C49</f>
        <v>734686435</v>
      </c>
      <c r="D17" s="393"/>
      <c r="E17" s="391">
        <f t="shared" si="0"/>
        <v>734686435</v>
      </c>
      <c r="F17" s="392"/>
      <c r="G17" s="393">
        <v>553159182</v>
      </c>
      <c r="H17" s="393"/>
      <c r="I17" s="391">
        <f t="shared" si="1"/>
        <v>553159182</v>
      </c>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row>
    <row r="18" spans="1:35" s="294" customFormat="1">
      <c r="A18" s="494" t="s">
        <v>2481</v>
      </c>
      <c r="B18" s="390">
        <f>+'Detalle 27'!C14</f>
        <v>4836109</v>
      </c>
      <c r="C18" s="393"/>
      <c r="D18" s="393"/>
      <c r="E18" s="391">
        <f t="shared" si="0"/>
        <v>4836109</v>
      </c>
      <c r="F18" s="392"/>
      <c r="G18" s="393"/>
      <c r="H18" s="393"/>
      <c r="I18" s="391">
        <f t="shared" si="1"/>
        <v>0</v>
      </c>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row>
    <row r="19" spans="1:35" s="294" customFormat="1">
      <c r="A19" s="494" t="s">
        <v>421</v>
      </c>
      <c r="B19" s="390"/>
      <c r="C19" s="393"/>
      <c r="D19" s="393">
        <f>+'Detalle 27'!C117-C36</f>
        <v>251788527</v>
      </c>
      <c r="E19" s="391">
        <f t="shared" si="0"/>
        <v>251788527</v>
      </c>
      <c r="F19" s="392"/>
      <c r="G19" s="393"/>
      <c r="H19" s="393">
        <v>136972224</v>
      </c>
      <c r="I19" s="391">
        <f t="shared" si="1"/>
        <v>136972224</v>
      </c>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row>
    <row r="20" spans="1:35" s="294" customFormat="1">
      <c r="A20" s="494" t="s">
        <v>422</v>
      </c>
      <c r="B20" s="390">
        <f>+'Detalle 27'!C7</f>
        <v>0</v>
      </c>
      <c r="C20" s="393">
        <f>+'Detalle 27'!C36+'Detalle 27'!C38+'Detalle 27'!C73+'Detalle 27'!C78+'Detalle 27'!C74</f>
        <v>91248215</v>
      </c>
      <c r="D20" s="393"/>
      <c r="E20" s="391">
        <f t="shared" si="0"/>
        <v>91248215</v>
      </c>
      <c r="F20" s="392">
        <v>13636</v>
      </c>
      <c r="G20" s="393">
        <v>13459460</v>
      </c>
      <c r="H20" s="393"/>
      <c r="I20" s="391">
        <f t="shared" si="1"/>
        <v>13473096</v>
      </c>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row>
    <row r="21" spans="1:35" s="294" customFormat="1">
      <c r="A21" s="494" t="s">
        <v>423</v>
      </c>
      <c r="B21" s="390"/>
      <c r="C21" s="393"/>
      <c r="D21" s="393"/>
      <c r="E21" s="391">
        <f t="shared" si="0"/>
        <v>0</v>
      </c>
      <c r="F21" s="392"/>
      <c r="G21" s="393"/>
      <c r="H21" s="393"/>
      <c r="I21" s="391">
        <f t="shared" si="1"/>
        <v>0</v>
      </c>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row>
    <row r="22" spans="1:35" s="294" customFormat="1">
      <c r="A22" s="494" t="s">
        <v>424</v>
      </c>
      <c r="B22" s="390">
        <f>+'Detalle 27'!C32</f>
        <v>37950916</v>
      </c>
      <c r="C22" s="393">
        <f>+'Detalle 27'!C128</f>
        <v>17413720</v>
      </c>
      <c r="D22" s="393"/>
      <c r="E22" s="391">
        <f t="shared" si="0"/>
        <v>55364636</v>
      </c>
      <c r="F22" s="392">
        <v>20445461</v>
      </c>
      <c r="G22" s="393">
        <v>93883847</v>
      </c>
      <c r="H22" s="393"/>
      <c r="I22" s="391">
        <f t="shared" si="1"/>
        <v>114329308</v>
      </c>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row>
    <row r="23" spans="1:35" s="294" customFormat="1">
      <c r="A23" s="494" t="s">
        <v>425</v>
      </c>
      <c r="B23" s="390"/>
      <c r="C23" s="393"/>
      <c r="D23" s="393"/>
      <c r="E23" s="391">
        <f t="shared" si="0"/>
        <v>0</v>
      </c>
      <c r="F23" s="392"/>
      <c r="G23" s="393"/>
      <c r="H23" s="393"/>
      <c r="I23" s="391">
        <f t="shared" si="1"/>
        <v>0</v>
      </c>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row>
    <row r="24" spans="1:35" s="294" customFormat="1" ht="24">
      <c r="A24" s="494" t="s">
        <v>426</v>
      </c>
      <c r="B24" s="390"/>
      <c r="C24" s="393">
        <f>+'Detalle 27'!C41</f>
        <v>40909095</v>
      </c>
      <c r="D24" s="393"/>
      <c r="E24" s="391">
        <f t="shared" si="0"/>
        <v>40909095</v>
      </c>
      <c r="F24" s="392"/>
      <c r="G24" s="393">
        <v>40909095</v>
      </c>
      <c r="H24" s="393"/>
      <c r="I24" s="391">
        <f t="shared" si="1"/>
        <v>40909095</v>
      </c>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row>
    <row r="25" spans="1:35" s="294" customFormat="1">
      <c r="A25" s="494" t="s">
        <v>427</v>
      </c>
      <c r="B25" s="390">
        <f>+'Detalle 27'!C3</f>
        <v>313934340</v>
      </c>
      <c r="C25" s="393">
        <f>+'Detalle 27'!C42</f>
        <v>292422172</v>
      </c>
      <c r="D25" s="393"/>
      <c r="E25" s="391">
        <f t="shared" si="0"/>
        <v>606356512</v>
      </c>
      <c r="F25" s="392">
        <v>262957678</v>
      </c>
      <c r="G25" s="393">
        <v>304500384</v>
      </c>
      <c r="H25" s="393"/>
      <c r="I25" s="391">
        <f t="shared" si="1"/>
        <v>567458062</v>
      </c>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row>
    <row r="26" spans="1:35" s="294" customFormat="1">
      <c r="A26" s="494" t="s">
        <v>1011</v>
      </c>
      <c r="B26" s="390">
        <f>+'Detalle 27'!C8+'Detalle 27'!C16</f>
        <v>172221061</v>
      </c>
      <c r="C26" s="393"/>
      <c r="D26" s="393"/>
      <c r="E26" s="391">
        <f t="shared" si="0"/>
        <v>172221061</v>
      </c>
      <c r="F26" s="392">
        <v>642421</v>
      </c>
      <c r="G26" s="393"/>
      <c r="H26" s="393"/>
      <c r="I26" s="391">
        <f t="shared" si="1"/>
        <v>642421</v>
      </c>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row>
    <row r="27" spans="1:35" s="294" customFormat="1">
      <c r="A27" s="494" t="s">
        <v>1020</v>
      </c>
      <c r="B27" s="390"/>
      <c r="C27" s="393"/>
      <c r="D27" s="393"/>
      <c r="E27" s="391">
        <f t="shared" si="0"/>
        <v>0</v>
      </c>
      <c r="F27" s="392"/>
      <c r="G27" s="393"/>
      <c r="H27" s="393"/>
      <c r="I27" s="391">
        <f t="shared" si="1"/>
        <v>0</v>
      </c>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row>
    <row r="28" spans="1:35" s="294" customFormat="1">
      <c r="A28" s="494" t="s">
        <v>1013</v>
      </c>
      <c r="B28" s="390"/>
      <c r="C28" s="393">
        <f>+'Detalle 27'!C45</f>
        <v>0</v>
      </c>
      <c r="D28" s="393"/>
      <c r="E28" s="391">
        <f t="shared" si="0"/>
        <v>0</v>
      </c>
      <c r="F28" s="392"/>
      <c r="G28" s="393"/>
      <c r="H28" s="393"/>
      <c r="I28" s="391">
        <f t="shared" si="1"/>
        <v>0</v>
      </c>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row>
    <row r="29" spans="1:35" s="294" customFormat="1">
      <c r="A29" s="494" t="s">
        <v>1014</v>
      </c>
      <c r="B29" s="390">
        <f>+'Detalle 27'!C5</f>
        <v>53915592</v>
      </c>
      <c r="C29" s="393">
        <f>+'Detalle 27'!C46</f>
        <v>72637263</v>
      </c>
      <c r="D29" s="393"/>
      <c r="E29" s="391">
        <f t="shared" si="0"/>
        <v>126552855</v>
      </c>
      <c r="F29" s="392"/>
      <c r="G29" s="393">
        <v>119852393</v>
      </c>
      <c r="H29" s="393"/>
      <c r="I29" s="391">
        <f t="shared" si="1"/>
        <v>119852393</v>
      </c>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293"/>
    </row>
    <row r="30" spans="1:35" s="294" customFormat="1">
      <c r="A30" s="494" t="s">
        <v>1015</v>
      </c>
      <c r="B30" s="390"/>
      <c r="C30" s="393">
        <f>+'Detalle 27'!C47</f>
        <v>0</v>
      </c>
      <c r="D30" s="393"/>
      <c r="E30" s="391">
        <f t="shared" si="0"/>
        <v>0</v>
      </c>
      <c r="F30" s="392"/>
      <c r="G30" s="393">
        <v>1530184</v>
      </c>
      <c r="H30" s="393"/>
      <c r="I30" s="391">
        <f t="shared" si="1"/>
        <v>1530184</v>
      </c>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row>
    <row r="31" spans="1:35" s="294" customFormat="1">
      <c r="A31" s="494" t="s">
        <v>1016</v>
      </c>
      <c r="B31" s="390">
        <f>+'Detalle 27'!C6</f>
        <v>26161194</v>
      </c>
      <c r="C31" s="393">
        <f>+'Detalle 27'!C48</f>
        <v>37754388</v>
      </c>
      <c r="D31" s="393"/>
      <c r="E31" s="391">
        <f t="shared" si="0"/>
        <v>63915582</v>
      </c>
      <c r="F31" s="392"/>
      <c r="G31" s="393">
        <v>60531512</v>
      </c>
      <c r="H31" s="393"/>
      <c r="I31" s="391">
        <f t="shared" si="1"/>
        <v>60531512</v>
      </c>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row>
    <row r="32" spans="1:35" s="294" customFormat="1">
      <c r="A32" s="494" t="s">
        <v>1589</v>
      </c>
      <c r="B32" s="390">
        <f>+'Detalle 27'!C4</f>
        <v>4824672</v>
      </c>
      <c r="C32" s="393">
        <f>+'Detalle 27'!C44</f>
        <v>4422618</v>
      </c>
      <c r="D32" s="393"/>
      <c r="E32" s="391">
        <f t="shared" si="0"/>
        <v>9247290</v>
      </c>
      <c r="F32" s="392"/>
      <c r="G32" s="393"/>
      <c r="H32" s="393"/>
      <c r="I32" s="391">
        <f t="shared" si="1"/>
        <v>0</v>
      </c>
      <c r="J32" s="293"/>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row>
    <row r="33" spans="1:35" s="294" customFormat="1">
      <c r="A33" s="494" t="s">
        <v>1018</v>
      </c>
      <c r="B33" s="390">
        <f>+'Detalle 27'!C9</f>
        <v>13808793</v>
      </c>
      <c r="C33" s="393"/>
      <c r="D33" s="393"/>
      <c r="E33" s="391">
        <f t="shared" si="0"/>
        <v>13808793</v>
      </c>
      <c r="F33" s="392">
        <v>81818181</v>
      </c>
      <c r="G33" s="393"/>
      <c r="H33" s="393"/>
      <c r="I33" s="391">
        <f t="shared" si="1"/>
        <v>81818181</v>
      </c>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row>
    <row r="34" spans="1:35" s="294" customFormat="1">
      <c r="A34" s="494" t="s">
        <v>428</v>
      </c>
      <c r="B34" s="390"/>
      <c r="C34" s="393"/>
      <c r="D34" s="393">
        <f>+'Detalle 27'!C21</f>
        <v>10613823</v>
      </c>
      <c r="E34" s="391">
        <f t="shared" si="0"/>
        <v>10613823</v>
      </c>
      <c r="F34" s="392"/>
      <c r="G34" s="393"/>
      <c r="H34" s="393">
        <v>10716688</v>
      </c>
      <c r="I34" s="391">
        <f t="shared" si="1"/>
        <v>10716688</v>
      </c>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row>
    <row r="35" spans="1:35" s="294" customFormat="1">
      <c r="A35" s="494" t="s">
        <v>429</v>
      </c>
      <c r="B35" s="390">
        <f>+'Detalle 27'!C88</f>
        <v>138589197</v>
      </c>
      <c r="C35" s="393"/>
      <c r="D35" s="393">
        <f>+'Detalle 27'!C102+'Detalle 27'!C105</f>
        <v>10055478</v>
      </c>
      <c r="E35" s="391">
        <f t="shared" si="0"/>
        <v>148644675</v>
      </c>
      <c r="F35" s="392">
        <v>103276619</v>
      </c>
      <c r="G35" s="393"/>
      <c r="H35" s="393"/>
      <c r="I35" s="391">
        <f t="shared" si="1"/>
        <v>103276619</v>
      </c>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row>
    <row r="36" spans="1:35" s="294" customFormat="1">
      <c r="A36" s="494" t="s">
        <v>430</v>
      </c>
      <c r="B36" s="390"/>
      <c r="C36" s="393">
        <f>+'Detalle 27'!C114</f>
        <v>0</v>
      </c>
      <c r="D36" s="393"/>
      <c r="E36" s="391">
        <f t="shared" si="0"/>
        <v>0</v>
      </c>
      <c r="F36" s="392"/>
      <c r="G36" s="393"/>
      <c r="H36" s="393"/>
      <c r="I36" s="391">
        <f t="shared" si="1"/>
        <v>0</v>
      </c>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row>
    <row r="37" spans="1:35" s="294" customFormat="1">
      <c r="A37" s="494" t="s">
        <v>431</v>
      </c>
      <c r="B37" s="390"/>
      <c r="C37" s="393">
        <f>+'Detalle 27'!C63</f>
        <v>43631137</v>
      </c>
      <c r="D37" s="393"/>
      <c r="E37" s="391">
        <f t="shared" si="0"/>
        <v>43631137</v>
      </c>
      <c r="F37" s="392"/>
      <c r="G37" s="393"/>
      <c r="H37" s="393">
        <v>0</v>
      </c>
      <c r="I37" s="391">
        <f>+G37+F37+H37</f>
        <v>0</v>
      </c>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row>
    <row r="38" spans="1:35" s="294" customFormat="1">
      <c r="A38" s="494" t="s">
        <v>1902</v>
      </c>
      <c r="B38" s="390">
        <f>+'Detalle 27'!C10</f>
        <v>73270783</v>
      </c>
      <c r="C38" s="393">
        <f>+'Detalle 27'!C50</f>
        <v>889559</v>
      </c>
      <c r="D38" s="393"/>
      <c r="E38" s="391">
        <f t="shared" si="0"/>
        <v>74160342</v>
      </c>
      <c r="F38" s="392"/>
      <c r="G38" s="393"/>
      <c r="H38" s="393"/>
      <c r="I38" s="391">
        <f t="shared" si="1"/>
        <v>0</v>
      </c>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row>
    <row r="39" spans="1:35" s="294" customFormat="1">
      <c r="A39" s="494" t="s">
        <v>2064</v>
      </c>
      <c r="B39" s="390">
        <f>+'Detalle 27'!C37</f>
        <v>2087636</v>
      </c>
      <c r="C39" s="393"/>
      <c r="D39" s="393">
        <f>+'Detalle 27'!C76+'Detalle 27'!C77+'Detalle 27'!C98</f>
        <v>0</v>
      </c>
      <c r="E39" s="391">
        <f t="shared" si="0"/>
        <v>2087636</v>
      </c>
      <c r="F39" s="392"/>
      <c r="G39" s="393"/>
      <c r="H39" s="393"/>
      <c r="I39" s="391">
        <f t="shared" si="1"/>
        <v>0</v>
      </c>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row>
    <row r="40" spans="1:35" s="294" customFormat="1">
      <c r="A40" s="494" t="s">
        <v>433</v>
      </c>
      <c r="B40" s="390"/>
      <c r="C40" s="393"/>
      <c r="D40" s="393"/>
      <c r="E40" s="391">
        <f t="shared" si="0"/>
        <v>0</v>
      </c>
      <c r="F40" s="392"/>
      <c r="G40" s="393"/>
      <c r="H40" s="393"/>
      <c r="I40" s="391">
        <f t="shared" si="1"/>
        <v>0</v>
      </c>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c r="AI40" s="293"/>
    </row>
    <row r="41" spans="1:35" s="294" customFormat="1">
      <c r="A41" s="495" t="s">
        <v>904</v>
      </c>
      <c r="B41" s="390">
        <f>+'Detalle 27'!C15</f>
        <v>19868</v>
      </c>
      <c r="C41" s="395"/>
      <c r="D41" s="395">
        <f>+'Detalle 27'!C56+'Detalle 27'!C57+'Detalle 27'!C58</f>
        <v>67703971</v>
      </c>
      <c r="E41" s="391">
        <f t="shared" si="0"/>
        <v>67723839</v>
      </c>
      <c r="F41" s="394"/>
      <c r="G41" s="395"/>
      <c r="H41" s="395">
        <v>67259849</v>
      </c>
      <c r="I41" s="391">
        <f t="shared" si="1"/>
        <v>67259849</v>
      </c>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3"/>
      <c r="AI41" s="293"/>
    </row>
    <row r="42" spans="1:35" s="294" customFormat="1">
      <c r="A42" s="495" t="s">
        <v>1019</v>
      </c>
      <c r="B42" s="390"/>
      <c r="C42" s="395"/>
      <c r="D42" s="395">
        <f>+'Detalle 27'!C67+'Detalle 27'!C124+'Detalle 27'!C125</f>
        <v>8911753</v>
      </c>
      <c r="E42" s="391">
        <f t="shared" si="0"/>
        <v>8911753</v>
      </c>
      <c r="F42" s="394"/>
      <c r="G42" s="395">
        <v>7650921</v>
      </c>
      <c r="H42" s="395"/>
      <c r="I42" s="391">
        <f t="shared" si="1"/>
        <v>7650921</v>
      </c>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293"/>
      <c r="AI42" s="293"/>
    </row>
    <row r="43" spans="1:35" s="294" customFormat="1">
      <c r="A43" s="495" t="s">
        <v>903</v>
      </c>
      <c r="B43" s="390">
        <f>+'Detalle 27'!C24+'Detalle 27'!C11</f>
        <v>223636</v>
      </c>
      <c r="C43" s="395">
        <f>+'Detalle 27'!C51+'Detalle 27'!C70+'Detalle 27'!C71</f>
        <v>705927</v>
      </c>
      <c r="D43" s="395"/>
      <c r="E43" s="391">
        <f t="shared" si="0"/>
        <v>929563</v>
      </c>
      <c r="F43" s="394">
        <v>5983426</v>
      </c>
      <c r="G43" s="395">
        <v>89545</v>
      </c>
      <c r="H43" s="395"/>
      <c r="I43" s="391">
        <f t="shared" si="1"/>
        <v>6072971</v>
      </c>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c r="AI43" s="293"/>
    </row>
    <row r="44" spans="1:35" s="294" customFormat="1">
      <c r="A44" s="495" t="s">
        <v>902</v>
      </c>
      <c r="B44" s="390"/>
      <c r="C44" s="395"/>
      <c r="D44" s="395"/>
      <c r="E44" s="391">
        <f t="shared" si="0"/>
        <v>0</v>
      </c>
      <c r="F44" s="394"/>
      <c r="G44" s="395"/>
      <c r="H44" s="395"/>
      <c r="I44" s="391">
        <f t="shared" si="1"/>
        <v>0</v>
      </c>
      <c r="J44" s="293"/>
      <c r="K44" s="293"/>
      <c r="L44" s="293"/>
      <c r="M44" s="293"/>
      <c r="N44" s="293"/>
      <c r="O44" s="293"/>
      <c r="P44" s="293"/>
      <c r="Q44" s="293"/>
      <c r="R44" s="293"/>
      <c r="S44" s="293"/>
      <c r="T44" s="293"/>
      <c r="U44" s="293"/>
      <c r="V44" s="293"/>
      <c r="W44" s="293"/>
      <c r="X44" s="293"/>
      <c r="Y44" s="293"/>
      <c r="Z44" s="293"/>
      <c r="AA44" s="293"/>
      <c r="AB44" s="293"/>
      <c r="AC44" s="293"/>
      <c r="AD44" s="293"/>
      <c r="AE44" s="293"/>
      <c r="AF44" s="293"/>
      <c r="AG44" s="293"/>
      <c r="AH44" s="293"/>
      <c r="AI44" s="293"/>
    </row>
    <row r="45" spans="1:35" s="294" customFormat="1">
      <c r="A45" s="495" t="s">
        <v>1009</v>
      </c>
      <c r="B45" s="390"/>
      <c r="C45" s="395"/>
      <c r="D45" s="395">
        <f>+'Detalle 27'!C25+'Detalle 27'!C26</f>
        <v>23579054</v>
      </c>
      <c r="E45" s="391">
        <f t="shared" si="0"/>
        <v>23579054</v>
      </c>
      <c r="F45" s="394"/>
      <c r="G45" s="395"/>
      <c r="H45" s="395">
        <v>19316395</v>
      </c>
      <c r="I45" s="391">
        <f t="shared" si="1"/>
        <v>19316395</v>
      </c>
      <c r="J45" s="293"/>
      <c r="K45" s="293"/>
      <c r="L45" s="293"/>
      <c r="M45" s="293"/>
      <c r="N45" s="293"/>
      <c r="O45" s="293"/>
      <c r="P45" s="293"/>
      <c r="Q45" s="293"/>
      <c r="R45" s="293"/>
      <c r="S45" s="293"/>
      <c r="T45" s="293"/>
      <c r="U45" s="293"/>
      <c r="V45" s="293"/>
      <c r="W45" s="293"/>
      <c r="X45" s="293"/>
      <c r="Y45" s="293"/>
      <c r="Z45" s="293"/>
      <c r="AA45" s="293"/>
      <c r="AB45" s="293"/>
      <c r="AC45" s="293"/>
      <c r="AD45" s="293"/>
      <c r="AE45" s="293"/>
      <c r="AF45" s="293"/>
      <c r="AG45" s="293"/>
      <c r="AH45" s="293"/>
      <c r="AI45" s="293"/>
    </row>
    <row r="46" spans="1:35" s="294" customFormat="1">
      <c r="A46" s="495" t="s">
        <v>905</v>
      </c>
      <c r="B46" s="390"/>
      <c r="C46" s="395"/>
      <c r="D46" s="395"/>
      <c r="E46" s="391">
        <f t="shared" si="0"/>
        <v>0</v>
      </c>
      <c r="F46" s="394"/>
      <c r="G46" s="395"/>
      <c r="H46" s="395"/>
      <c r="I46" s="391">
        <f t="shared" si="1"/>
        <v>0</v>
      </c>
      <c r="J46" s="293"/>
      <c r="K46" s="293"/>
      <c r="L46" s="293"/>
      <c r="M46" s="293"/>
      <c r="N46" s="293"/>
      <c r="O46" s="293"/>
      <c r="P46" s="293"/>
      <c r="Q46" s="293"/>
      <c r="R46" s="293"/>
      <c r="S46" s="293"/>
      <c r="T46" s="293"/>
      <c r="U46" s="293"/>
      <c r="V46" s="293"/>
      <c r="W46" s="293"/>
      <c r="X46" s="293"/>
      <c r="Y46" s="293"/>
      <c r="Z46" s="293"/>
      <c r="AA46" s="293"/>
      <c r="AB46" s="293"/>
      <c r="AC46" s="293"/>
      <c r="AD46" s="293"/>
      <c r="AE46" s="293"/>
      <c r="AF46" s="293"/>
      <c r="AG46" s="293"/>
      <c r="AH46" s="293"/>
      <c r="AI46" s="293"/>
    </row>
    <row r="47" spans="1:35" s="294" customFormat="1">
      <c r="A47" s="495" t="s">
        <v>906</v>
      </c>
      <c r="B47" s="390"/>
      <c r="C47" s="395"/>
      <c r="D47" s="395"/>
      <c r="E47" s="391">
        <f t="shared" si="0"/>
        <v>0</v>
      </c>
      <c r="F47" s="394"/>
      <c r="G47" s="395"/>
      <c r="H47" s="395"/>
      <c r="I47" s="391">
        <f t="shared" si="1"/>
        <v>0</v>
      </c>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row>
    <row r="48" spans="1:35" s="294" customFormat="1">
      <c r="A48" s="495" t="s">
        <v>1017</v>
      </c>
      <c r="B48" s="390"/>
      <c r="C48" s="395"/>
      <c r="D48" s="395">
        <f>+'Detalle 27'!C96</f>
        <v>41762363</v>
      </c>
      <c r="E48" s="391">
        <f t="shared" si="0"/>
        <v>41762363</v>
      </c>
      <c r="F48" s="394"/>
      <c r="G48" s="395"/>
      <c r="H48" s="395">
        <v>27721410</v>
      </c>
      <c r="I48" s="391">
        <f t="shared" si="1"/>
        <v>27721410</v>
      </c>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row>
    <row r="49" spans="1:35" s="294" customFormat="1">
      <c r="A49" s="495" t="s">
        <v>901</v>
      </c>
      <c r="B49" s="390"/>
      <c r="C49" s="395"/>
      <c r="D49" s="395">
        <f>+'Detalle 27'!C66</f>
        <v>71629831</v>
      </c>
      <c r="E49" s="391">
        <f t="shared" si="0"/>
        <v>71629831</v>
      </c>
      <c r="F49" s="394"/>
      <c r="G49" s="395"/>
      <c r="H49" s="395"/>
      <c r="I49" s="391">
        <f t="shared" si="1"/>
        <v>0</v>
      </c>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row>
    <row r="50" spans="1:35" s="294" customFormat="1" ht="15.75" thickBot="1">
      <c r="A50" s="301" t="s">
        <v>161</v>
      </c>
      <c r="B50" s="488">
        <f>+SUM($B$13:B49)</f>
        <v>932645102</v>
      </c>
      <c r="C50" s="488">
        <f>+SUM($C$13:C49)</f>
        <v>1419593795</v>
      </c>
      <c r="D50" s="488">
        <f>+SUM($D$13:D49)</f>
        <v>486194800</v>
      </c>
      <c r="E50" s="489">
        <f>+SUM($E$13:E49)</f>
        <v>2838433697</v>
      </c>
      <c r="F50" s="489">
        <f>+SUM($F$13:F49)</f>
        <v>573578865</v>
      </c>
      <c r="G50" s="489">
        <f>+SUM($G$13:G49)</f>
        <v>1393156974</v>
      </c>
      <c r="H50" s="489">
        <f>+SUM($H$13:H49)</f>
        <v>262086566</v>
      </c>
      <c r="I50" s="489">
        <f>+SUM($I$13:I49)</f>
        <v>2228822405</v>
      </c>
      <c r="J50" s="293"/>
      <c r="K50" s="293"/>
      <c r="L50" s="293"/>
      <c r="M50" s="293"/>
      <c r="N50" s="293"/>
      <c r="O50" s="293"/>
      <c r="P50" s="293"/>
      <c r="Q50" s="293"/>
      <c r="R50" s="293"/>
      <c r="S50" s="293"/>
      <c r="T50" s="293"/>
      <c r="U50" s="293"/>
      <c r="V50" s="293"/>
      <c r="W50" s="293"/>
      <c r="X50" s="293"/>
      <c r="Y50" s="293"/>
      <c r="Z50" s="293"/>
      <c r="AA50" s="293"/>
      <c r="AB50" s="293"/>
      <c r="AC50" s="293"/>
      <c r="AD50" s="293"/>
      <c r="AE50" s="293"/>
      <c r="AF50" s="293"/>
      <c r="AG50" s="293"/>
      <c r="AH50" s="293"/>
      <c r="AI50" s="293"/>
    </row>
    <row r="51" spans="1:35" s="294" customFormat="1" hidden="1">
      <c r="A51" s="293"/>
      <c r="B51" s="293"/>
      <c r="C51" s="293"/>
      <c r="D51" s="293"/>
      <c r="E51" s="413">
        <v>4674048919</v>
      </c>
      <c r="F51" s="293"/>
      <c r="G51" s="293"/>
      <c r="H51" s="293"/>
      <c r="I51" s="413">
        <v>2829318427</v>
      </c>
      <c r="J51" s="293"/>
      <c r="K51" s="293"/>
      <c r="L51" s="293"/>
      <c r="M51" s="293"/>
      <c r="N51" s="293"/>
      <c r="O51" s="293"/>
      <c r="P51" s="293"/>
      <c r="Q51" s="293"/>
      <c r="R51" s="293"/>
      <c r="S51" s="293"/>
      <c r="T51" s="293"/>
      <c r="U51" s="293"/>
      <c r="V51" s="293"/>
      <c r="W51" s="293"/>
      <c r="X51" s="293"/>
      <c r="Y51" s="293"/>
      <c r="Z51" s="293"/>
      <c r="AA51" s="293"/>
      <c r="AB51" s="293"/>
      <c r="AC51" s="293"/>
      <c r="AD51" s="293"/>
      <c r="AE51" s="293"/>
      <c r="AF51" s="293"/>
      <c r="AG51" s="293"/>
      <c r="AH51" s="293"/>
      <c r="AI51" s="293"/>
    </row>
    <row r="52" spans="1:35" s="294" customFormat="1" hidden="1">
      <c r="A52" s="293"/>
      <c r="B52" s="293"/>
      <c r="C52" s="293"/>
      <c r="D52" s="293"/>
      <c r="E52" s="509">
        <f>+E50-E51</f>
        <v>-1835615222</v>
      </c>
      <c r="F52" s="293"/>
      <c r="G52" s="293"/>
      <c r="H52" s="293"/>
      <c r="I52" s="413">
        <f>+I50-I51</f>
        <v>-600496022</v>
      </c>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row>
    <row r="53" spans="1:35" s="294" customFormat="1" hidden="1">
      <c r="A53" s="293"/>
      <c r="B53" s="293"/>
      <c r="C53" s="293"/>
      <c r="D53" s="293"/>
      <c r="E53" s="293"/>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3"/>
    </row>
    <row r="54" spans="1:35" s="294" customFormat="1">
      <c r="A54" s="293"/>
      <c r="B54" s="293"/>
      <c r="C54" s="293"/>
      <c r="D54" s="293"/>
      <c r="E54" s="413">
        <f>+E50+'Nota 28'!F16+'Nota 29'!F14-'2024'!C578</f>
        <v>0</v>
      </c>
      <c r="F54" s="293"/>
      <c r="G54" s="293"/>
      <c r="H54" s="293"/>
      <c r="I54" s="293"/>
      <c r="J54" s="293"/>
      <c r="K54" s="293"/>
      <c r="L54" s="293"/>
      <c r="M54" s="293"/>
      <c r="N54" s="293"/>
      <c r="O54" s="293"/>
      <c r="P54" s="293"/>
      <c r="Q54" s="293"/>
      <c r="R54" s="293"/>
      <c r="S54" s="293"/>
      <c r="T54" s="293"/>
      <c r="U54" s="293"/>
      <c r="V54" s="293"/>
      <c r="W54" s="293"/>
      <c r="X54" s="293"/>
      <c r="Y54" s="293"/>
      <c r="Z54" s="293"/>
      <c r="AA54" s="293"/>
      <c r="AB54" s="293"/>
      <c r="AC54" s="293"/>
      <c r="AD54" s="293"/>
      <c r="AE54" s="293"/>
      <c r="AF54" s="293"/>
      <c r="AG54" s="293"/>
      <c r="AH54" s="293"/>
      <c r="AI54" s="293"/>
    </row>
    <row r="55" spans="1:35" s="294" customFormat="1" hidden="1">
      <c r="A55" s="293"/>
      <c r="B55" s="293"/>
      <c r="C55" s="293"/>
      <c r="D55" s="293"/>
      <c r="E55" s="413">
        <f>+E50+'Nota 28'!F16+'Nota 29'!F14</f>
        <v>3279293165</v>
      </c>
      <c r="F55" s="293"/>
      <c r="G55" s="293"/>
      <c r="H55" s="293"/>
      <c r="I55" s="413">
        <f>+I50+'Nota 28'!G16</f>
        <v>2969435483</v>
      </c>
      <c r="J55" s="293"/>
      <c r="K55" s="293"/>
      <c r="L55" s="293"/>
      <c r="M55" s="293"/>
      <c r="N55" s="293"/>
      <c r="O55" s="293"/>
      <c r="P55" s="293"/>
      <c r="Q55" s="293"/>
      <c r="R55" s="293"/>
      <c r="S55" s="293"/>
      <c r="T55" s="293"/>
      <c r="U55" s="293"/>
      <c r="V55" s="293"/>
      <c r="W55" s="293"/>
      <c r="X55" s="293"/>
      <c r="Y55" s="293"/>
      <c r="Z55" s="293"/>
      <c r="AA55" s="293"/>
      <c r="AB55" s="293"/>
      <c r="AC55" s="293"/>
      <c r="AD55" s="293"/>
      <c r="AE55" s="293"/>
      <c r="AF55" s="293"/>
      <c r="AG55" s="293"/>
      <c r="AH55" s="293"/>
      <c r="AI55" s="293"/>
    </row>
    <row r="56" spans="1:35" s="294" customFormat="1" hidden="1">
      <c r="A56" s="293"/>
      <c r="B56" s="293"/>
      <c r="C56" s="293"/>
      <c r="D56" s="293"/>
      <c r="E56" s="413">
        <f>+E55-'Detalle 27'!C154</f>
        <v>0</v>
      </c>
      <c r="F56" s="293"/>
      <c r="G56" s="293"/>
      <c r="H56" s="293"/>
      <c r="I56" s="413">
        <f>+I55-'Detalle 27'!G145+'Nota 29'!G9</f>
        <v>-9002519027</v>
      </c>
      <c r="J56" s="293"/>
      <c r="K56" s="293"/>
      <c r="L56" s="293"/>
      <c r="M56" s="293"/>
      <c r="N56" s="293"/>
      <c r="O56" s="293"/>
      <c r="P56" s="293"/>
      <c r="Q56" s="293"/>
      <c r="R56" s="293"/>
      <c r="S56" s="293"/>
      <c r="T56" s="293"/>
      <c r="U56" s="293"/>
      <c r="V56" s="293"/>
      <c r="W56" s="293"/>
      <c r="X56" s="293"/>
      <c r="Y56" s="293"/>
      <c r="Z56" s="293"/>
      <c r="AA56" s="293"/>
      <c r="AB56" s="293"/>
      <c r="AC56" s="293"/>
      <c r="AD56" s="293"/>
      <c r="AE56" s="293"/>
      <c r="AF56" s="293"/>
      <c r="AG56" s="293"/>
      <c r="AH56" s="293"/>
      <c r="AI56" s="293"/>
    </row>
    <row r="57" spans="1:35" s="294" customFormat="1" hidden="1">
      <c r="A57" s="293"/>
      <c r="B57" s="293"/>
      <c r="C57" s="293"/>
      <c r="D57" s="293"/>
      <c r="E57" s="293"/>
      <c r="F57" s="293"/>
      <c r="G57" s="293"/>
      <c r="H57" s="293"/>
      <c r="I57" s="413">
        <f>+I56+'Detalle 27'!G141</f>
        <v>-8660591307</v>
      </c>
      <c r="J57" s="293"/>
      <c r="K57" s="293"/>
      <c r="L57" s="293"/>
      <c r="M57" s="293"/>
      <c r="N57" s="293"/>
      <c r="O57" s="293"/>
      <c r="P57" s="293"/>
      <c r="Q57" s="293"/>
      <c r="R57" s="293"/>
      <c r="S57" s="293"/>
      <c r="T57" s="293"/>
      <c r="U57" s="293"/>
      <c r="V57" s="293"/>
      <c r="W57" s="293"/>
      <c r="X57" s="293"/>
      <c r="Y57" s="293"/>
      <c r="Z57" s="293"/>
      <c r="AA57" s="293"/>
      <c r="AB57" s="293"/>
      <c r="AC57" s="293"/>
      <c r="AD57" s="293"/>
      <c r="AE57" s="293"/>
      <c r="AF57" s="293"/>
      <c r="AG57" s="293"/>
      <c r="AH57" s="293"/>
      <c r="AI57" s="293"/>
    </row>
    <row r="58" spans="1:35" s="294" customFormat="1">
      <c r="A58" s="293"/>
      <c r="B58" s="293"/>
      <c r="C58" s="293"/>
      <c r="D58" s="293"/>
      <c r="E58" s="293"/>
      <c r="F58" s="293"/>
      <c r="G58" s="293"/>
      <c r="H58" s="293"/>
      <c r="I58" s="293"/>
      <c r="J58" s="293"/>
      <c r="K58" s="293"/>
      <c r="L58" s="293"/>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293"/>
    </row>
    <row r="59" spans="1:35" s="302" customFormat="1">
      <c r="A59" s="136"/>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row>
    <row r="60" spans="1:35" s="302" customFormat="1">
      <c r="A60" s="136"/>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row>
  </sheetData>
  <mergeCells count="3">
    <mergeCell ref="A6:J6"/>
    <mergeCell ref="A11:A12"/>
    <mergeCell ref="F11:I11"/>
  </mergeCells>
  <hyperlinks>
    <hyperlink ref="I1" location="ER!A1" display="ER" xr:uid="{00000000-0004-0000-2500-000000000000}"/>
  </hyperlinks>
  <pageMargins left="0.25" right="0.25" top="0.75" bottom="0.75" header="0.3" footer="0.3"/>
  <pageSetup paperSize="9" scale="61" fitToHeight="0"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5" tint="-0.499984740745262"/>
    <pageSetUpPr fitToPage="1"/>
  </sheetPr>
  <dimension ref="A1:X25"/>
  <sheetViews>
    <sheetView showGridLines="0" workbookViewId="0">
      <selection activeCell="E1" sqref="E1"/>
    </sheetView>
  </sheetViews>
  <sheetFormatPr baseColWidth="10" defaultRowHeight="15"/>
  <cols>
    <col min="1" max="1" width="38" style="133" customWidth="1"/>
    <col min="2" max="2" width="14.7109375" style="133" customWidth="1"/>
    <col min="3" max="3" width="15.7109375" style="133" customWidth="1"/>
    <col min="4" max="4" width="4.85546875" style="133" customWidth="1"/>
    <col min="5" max="5" width="27.42578125" style="133" customWidth="1"/>
    <col min="6" max="6" width="18.42578125" style="133" customWidth="1"/>
    <col min="7" max="7" width="14.7109375" style="133" customWidth="1"/>
    <col min="8" max="20" width="11.5703125" style="133" customWidth="1"/>
  </cols>
  <sheetData>
    <row r="1" spans="1:24">
      <c r="E1" s="153" t="s">
        <v>70</v>
      </c>
    </row>
    <row r="4" spans="1:24">
      <c r="A4" s="818" t="s">
        <v>434</v>
      </c>
      <c r="B4" s="818"/>
      <c r="C4" s="818"/>
      <c r="D4" s="818"/>
      <c r="E4" s="818"/>
      <c r="F4" s="303"/>
      <c r="U4" s="133"/>
      <c r="V4" s="133"/>
      <c r="W4" s="133"/>
      <c r="X4" s="133"/>
    </row>
    <row r="5" spans="1:24">
      <c r="A5" s="304"/>
      <c r="B5" s="305"/>
      <c r="C5" s="306"/>
      <c r="D5" s="306"/>
      <c r="E5" s="306"/>
      <c r="F5" s="303"/>
      <c r="U5" s="133"/>
      <c r="V5" s="133"/>
      <c r="W5" s="133"/>
      <c r="X5" s="133"/>
    </row>
    <row r="6" spans="1:24">
      <c r="A6" s="307" t="s">
        <v>2084</v>
      </c>
      <c r="B6" s="837"/>
      <c r="C6" s="837"/>
      <c r="D6" s="306"/>
      <c r="E6" s="306"/>
      <c r="F6" s="303"/>
      <c r="U6" s="133"/>
      <c r="V6" s="133"/>
      <c r="W6" s="133"/>
      <c r="X6" s="133"/>
    </row>
    <row r="7" spans="1:24">
      <c r="A7" s="304"/>
      <c r="D7" s="306"/>
      <c r="E7" s="306"/>
      <c r="F7" s="303"/>
      <c r="L7" s="133" t="s">
        <v>929</v>
      </c>
      <c r="U7" s="133"/>
      <c r="V7" s="133"/>
      <c r="W7" s="133"/>
      <c r="X7" s="133"/>
    </row>
    <row r="8" spans="1:24">
      <c r="A8" s="308" t="s">
        <v>435</v>
      </c>
      <c r="B8" s="211">
        <v>2024</v>
      </c>
      <c r="C8" s="211">
        <v>2023</v>
      </c>
      <c r="D8" s="306"/>
      <c r="E8" s="308" t="s">
        <v>436</v>
      </c>
      <c r="F8" s="211">
        <f>+B8</f>
        <v>2024</v>
      </c>
      <c r="G8" s="211">
        <f>+C8</f>
        <v>2023</v>
      </c>
      <c r="U8" s="133"/>
      <c r="V8" s="133"/>
      <c r="W8" s="133"/>
      <c r="X8" s="133"/>
    </row>
    <row r="9" spans="1:24">
      <c r="A9" s="304" t="s">
        <v>906</v>
      </c>
      <c r="B9" s="414">
        <f>'2024'!C416+60</f>
        <v>-7402268</v>
      </c>
      <c r="C9" s="396">
        <v>38621902</v>
      </c>
      <c r="D9" s="306"/>
      <c r="E9" s="304" t="s">
        <v>909</v>
      </c>
      <c r="F9" s="414">
        <f>+'Detalle 27'!C120</f>
        <v>61657482</v>
      </c>
      <c r="G9" s="396">
        <v>64082847</v>
      </c>
      <c r="U9" s="133"/>
      <c r="V9" s="133"/>
      <c r="W9" s="133"/>
      <c r="X9" s="133"/>
    </row>
    <row r="10" spans="1:24">
      <c r="A10" s="304" t="s">
        <v>907</v>
      </c>
      <c r="B10" s="414">
        <f>'2024'!C420</f>
        <v>2000005</v>
      </c>
      <c r="C10" s="396">
        <v>318182</v>
      </c>
      <c r="D10" s="306"/>
      <c r="E10" s="304" t="s">
        <v>432</v>
      </c>
      <c r="F10" s="414">
        <f>+'Detalle 27'!C121</f>
        <v>7297278</v>
      </c>
      <c r="G10" s="396">
        <v>5730781</v>
      </c>
      <c r="U10" s="133"/>
      <c r="V10" s="133"/>
      <c r="W10" s="133"/>
      <c r="X10" s="133"/>
    </row>
    <row r="11" spans="1:24">
      <c r="A11" s="304" t="s">
        <v>908</v>
      </c>
      <c r="B11" s="414">
        <f>-'2024'!C417</f>
        <v>0</v>
      </c>
      <c r="C11" s="396" t="s">
        <v>2482</v>
      </c>
      <c r="D11" s="306"/>
      <c r="E11" s="304" t="s">
        <v>906</v>
      </c>
      <c r="F11" s="414">
        <f>+'Detalle 27'!C140</f>
        <v>29083149</v>
      </c>
      <c r="G11" s="396">
        <v>225079135</v>
      </c>
      <c r="U11" s="133"/>
      <c r="V11" s="133"/>
      <c r="W11" s="133"/>
      <c r="X11" s="133"/>
    </row>
    <row r="12" spans="1:24">
      <c r="A12" s="304" t="s">
        <v>924</v>
      </c>
      <c r="B12" s="414">
        <v>0</v>
      </c>
      <c r="C12" s="396" t="s">
        <v>2482</v>
      </c>
      <c r="D12" s="306"/>
      <c r="E12" s="304" t="s">
        <v>901</v>
      </c>
      <c r="F12" s="414">
        <f>+'Detalle 27'!C19+'Detalle 27'!C20+'Detalle 27'!C23+'Detalle 27'!C28+'Detalle 27'!C30+'Detalle 27'!C31+'Detalle 27'!C33+'Detalle 27'!C53+'Detalle 27'!C54+'Detalle 27'!C55+'Detalle 27'!C59+'Detalle 27'!C60+'Detalle 27'!C61+'Detalle 27'!C64+'Detalle 27'!C65+'Detalle 27'!C72+'Detalle 27'!C75+'Detalle 27'!C141+'Detalle 27'!C143+'Detalle 27'!C43+'Detalle 27'!C52</f>
        <v>129598761</v>
      </c>
      <c r="G12" s="396">
        <v>445720315</v>
      </c>
      <c r="U12" s="133"/>
      <c r="V12" s="133"/>
      <c r="W12" s="133"/>
      <c r="X12" s="133"/>
    </row>
    <row r="13" spans="1:24">
      <c r="A13" s="308" t="s">
        <v>915</v>
      </c>
      <c r="B13" s="414"/>
      <c r="C13" s="396"/>
      <c r="D13" s="306"/>
      <c r="E13" s="308" t="s">
        <v>916</v>
      </c>
      <c r="F13" s="396"/>
      <c r="G13" s="304"/>
      <c r="U13" s="133"/>
      <c r="V13" s="133"/>
      <c r="W13" s="133"/>
      <c r="X13" s="133"/>
    </row>
    <row r="14" spans="1:24">
      <c r="A14" s="304" t="s">
        <v>1021</v>
      </c>
      <c r="B14" s="414">
        <f>-'2024'!C418</f>
        <v>0</v>
      </c>
      <c r="C14" s="396">
        <v>28795224</v>
      </c>
      <c r="D14" s="306"/>
      <c r="E14" s="304" t="s">
        <v>909</v>
      </c>
      <c r="F14" s="414">
        <v>0</v>
      </c>
      <c r="G14" s="396">
        <v>0</v>
      </c>
      <c r="U14" s="133"/>
      <c r="V14" s="133"/>
      <c r="W14" s="133"/>
      <c r="X14" s="133"/>
    </row>
    <row r="15" spans="1:24">
      <c r="A15" s="304" t="s">
        <v>1022</v>
      </c>
      <c r="B15" s="414">
        <f>-'2024'!C419</f>
        <v>0</v>
      </c>
      <c r="C15" s="507">
        <v>12195851</v>
      </c>
      <c r="D15" s="306"/>
      <c r="E15" s="304"/>
      <c r="F15" s="396"/>
      <c r="G15" s="304"/>
      <c r="U15" s="133"/>
      <c r="V15" s="133"/>
      <c r="W15" s="133"/>
      <c r="X15" s="133"/>
    </row>
    <row r="16" spans="1:24">
      <c r="A16" s="308" t="s">
        <v>161</v>
      </c>
      <c r="B16" s="409">
        <f>SUM($B$9:B15)</f>
        <v>-5402263</v>
      </c>
      <c r="C16" s="410">
        <f>SUM($C$9:C15)</f>
        <v>79931159</v>
      </c>
      <c r="D16" s="309"/>
      <c r="E16" s="310" t="s">
        <v>161</v>
      </c>
      <c r="F16" s="409">
        <f>SUM($F$9:F15)</f>
        <v>227636670</v>
      </c>
      <c r="G16" s="410">
        <f>SUM($G$9:G15)</f>
        <v>740613078</v>
      </c>
      <c r="U16" s="133"/>
      <c r="V16" s="133"/>
      <c r="W16" s="133"/>
      <c r="X16" s="133"/>
    </row>
    <row r="17" spans="1:24">
      <c r="A17"/>
      <c r="B17"/>
      <c r="C17"/>
      <c r="D17" s="306"/>
      <c r="E17" s="306"/>
      <c r="F17" s="303"/>
      <c r="U17" s="133"/>
      <c r="V17" s="133"/>
      <c r="W17" s="133"/>
      <c r="X17" s="133"/>
    </row>
    <row r="18" spans="1:24">
      <c r="A18"/>
      <c r="B18"/>
      <c r="C18"/>
      <c r="D18" s="306"/>
      <c r="E18" s="306"/>
      <c r="F18" s="415">
        <f>F9+F10+F11-B9-B10-B11</f>
        <v>103440172</v>
      </c>
      <c r="U18" s="133"/>
      <c r="V18" s="133"/>
      <c r="W18" s="133"/>
      <c r="X18" s="133"/>
    </row>
    <row r="19" spans="1:24">
      <c r="A19"/>
      <c r="B19"/>
      <c r="C19"/>
      <c r="D19" s="306"/>
      <c r="E19" s="306"/>
      <c r="F19" s="303"/>
      <c r="U19" s="133"/>
      <c r="V19" s="133"/>
      <c r="W19" s="133"/>
      <c r="X19" s="133"/>
    </row>
    <row r="20" spans="1:24">
      <c r="A20"/>
      <c r="B20"/>
      <c r="C20" s="407"/>
      <c r="D20" s="306"/>
      <c r="E20" s="306"/>
      <c r="F20" s="303"/>
      <c r="U20" s="133"/>
      <c r="V20" s="133"/>
      <c r="W20" s="133"/>
      <c r="X20" s="133"/>
    </row>
    <row r="21" spans="1:24">
      <c r="A21"/>
      <c r="B21"/>
      <c r="C21"/>
      <c r="D21" s="306"/>
      <c r="E21" s="306"/>
      <c r="F21" s="303"/>
      <c r="U21" s="133"/>
      <c r="V21" s="133"/>
      <c r="W21" s="133"/>
      <c r="X21" s="133"/>
    </row>
    <row r="22" spans="1:24">
      <c r="A22"/>
      <c r="B22"/>
      <c r="C22"/>
      <c r="D22" s="306"/>
      <c r="E22" s="306"/>
      <c r="F22" s="303"/>
      <c r="U22" s="133"/>
      <c r="V22" s="133"/>
      <c r="W22" s="133"/>
      <c r="X22" s="133"/>
    </row>
    <row r="23" spans="1:24">
      <c r="A23"/>
      <c r="B23"/>
      <c r="C23"/>
      <c r="D23" s="306"/>
      <c r="E23" s="306"/>
      <c r="F23" s="303"/>
      <c r="U23" s="133"/>
      <c r="V23" s="133"/>
      <c r="W23" s="133"/>
      <c r="X23" s="133"/>
    </row>
    <row r="24" spans="1:24">
      <c r="A24"/>
      <c r="B24"/>
      <c r="C24"/>
      <c r="D24" s="306"/>
      <c r="E24" s="306"/>
      <c r="F24" s="303"/>
      <c r="U24" s="133"/>
      <c r="V24" s="133"/>
      <c r="W24" s="133"/>
      <c r="X24" s="133"/>
    </row>
    <row r="25" spans="1:24">
      <c r="A25"/>
      <c r="B25"/>
      <c r="C25"/>
      <c r="D25" s="306"/>
      <c r="E25" s="306"/>
      <c r="F25" s="303"/>
      <c r="U25" s="133"/>
      <c r="V25" s="133"/>
      <c r="W25" s="133"/>
      <c r="X25" s="133"/>
    </row>
  </sheetData>
  <mergeCells count="2">
    <mergeCell ref="A4:E4"/>
    <mergeCell ref="B6:C6"/>
  </mergeCells>
  <hyperlinks>
    <hyperlink ref="E1" location="ER!A1" display="ER" xr:uid="{00000000-0004-0000-2600-000000000000}"/>
  </hyperlinks>
  <pageMargins left="0.25" right="0.25" top="0.75" bottom="0.75" header="0.3" footer="0.3"/>
  <pageSetup scale="7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I46"/>
  <sheetViews>
    <sheetView showGridLines="0" workbookViewId="0">
      <selection activeCell="A6" sqref="A6:C6"/>
    </sheetView>
  </sheetViews>
  <sheetFormatPr baseColWidth="10" defaultColWidth="10.85546875" defaultRowHeight="14.25"/>
  <cols>
    <col min="1" max="1" width="68.85546875" style="106" customWidth="1"/>
    <col min="2" max="2" width="21.140625" style="107" customWidth="1"/>
    <col min="3" max="3" width="23.7109375" style="107" customWidth="1"/>
    <col min="4" max="4" width="2.28515625" style="106" customWidth="1"/>
    <col min="5" max="5" width="27.5703125" style="106" customWidth="1"/>
    <col min="6" max="6" width="2.28515625" style="106" customWidth="1"/>
    <col min="7" max="7" width="13.28515625" style="106" bestFit="1" customWidth="1"/>
    <col min="8" max="8" width="21.28515625" style="106" customWidth="1"/>
    <col min="9" max="9" width="16.28515625" style="107" bestFit="1" customWidth="1"/>
    <col min="10" max="16384" width="10.85546875" style="106"/>
  </cols>
  <sheetData>
    <row r="1" spans="1:9">
      <c r="A1" s="356"/>
    </row>
    <row r="2" spans="1:9">
      <c r="A2" s="356"/>
      <c r="B2" s="109"/>
      <c r="C2" s="109"/>
      <c r="I2" s="106"/>
    </row>
    <row r="3" spans="1:9" hidden="1">
      <c r="A3" s="718"/>
      <c r="B3" s="718"/>
      <c r="C3" s="718"/>
      <c r="I3" s="106"/>
    </row>
    <row r="4" spans="1:9">
      <c r="A4" s="108"/>
      <c r="B4" s="109"/>
      <c r="C4" s="109"/>
      <c r="I4" s="106"/>
    </row>
    <row r="5" spans="1:9" s="1" customFormat="1" ht="15">
      <c r="A5" s="719" t="s">
        <v>170</v>
      </c>
      <c r="B5" s="719"/>
      <c r="C5" s="719"/>
    </row>
    <row r="6" spans="1:9" s="1" customFormat="1" ht="15">
      <c r="A6" s="719" t="str">
        <f>+ER!A8</f>
        <v>AL 31 DE MARZO DEL 2024</v>
      </c>
      <c r="B6" s="719"/>
      <c r="C6" s="719"/>
    </row>
    <row r="7" spans="1:9" s="1" customFormat="1">
      <c r="A7" s="720" t="s">
        <v>152</v>
      </c>
      <c r="B7" s="720"/>
      <c r="C7" s="720"/>
    </row>
    <row r="8" spans="1:9" s="1" customFormat="1">
      <c r="A8" s="720" t="str">
        <f>+ER!A10</f>
        <v>(En guaraníes)</v>
      </c>
      <c r="B8" s="720"/>
      <c r="C8" s="720"/>
    </row>
    <row r="9" spans="1:9" s="1" customFormat="1">
      <c r="A9" s="110"/>
      <c r="B9" s="110"/>
      <c r="C9" s="110"/>
    </row>
    <row r="10" spans="1:9" s="1" customFormat="1">
      <c r="A10" s="110"/>
      <c r="B10" s="110"/>
      <c r="C10" s="110"/>
    </row>
    <row r="11" spans="1:9" s="1" customFormat="1" ht="15">
      <c r="A11" s="111"/>
      <c r="B11" s="34">
        <v>2024</v>
      </c>
      <c r="C11" s="34">
        <v>2023</v>
      </c>
    </row>
    <row r="12" spans="1:9" s="1" customFormat="1">
      <c r="A12" s="106"/>
      <c r="B12" s="112"/>
      <c r="C12" s="112"/>
    </row>
    <row r="13" spans="1:9" s="1" customFormat="1" ht="15">
      <c r="A13" s="100" t="s">
        <v>171</v>
      </c>
      <c r="B13" s="107"/>
      <c r="C13" s="107"/>
      <c r="I13" s="96"/>
    </row>
    <row r="14" spans="1:9" s="1" customFormat="1">
      <c r="A14" s="106" t="s">
        <v>172</v>
      </c>
      <c r="B14" s="113">
        <f>+'Calc.Aux.'!F12</f>
        <v>7613726312</v>
      </c>
      <c r="C14" s="113">
        <f>+'Calc.Aux.'!G12</f>
        <v>10400170391</v>
      </c>
      <c r="E14" s="408"/>
      <c r="G14" s="408"/>
      <c r="I14" s="96"/>
    </row>
    <row r="15" spans="1:9" s="1" customFormat="1">
      <c r="A15" s="106" t="s">
        <v>173</v>
      </c>
      <c r="B15" s="113">
        <f>(+'Calc.Aux.'!F28+'Calc.Aux.'!F46+'Calc.Aux.'!F57)*-1</f>
        <v>-7405979114</v>
      </c>
      <c r="C15" s="113">
        <f>(+'Calc.Aux.'!G28+'Calc.Aux.'!G46+'Calc.Aux.'!G57)*-1</f>
        <v>-9071086360</v>
      </c>
      <c r="E15" s="408"/>
      <c r="F15" s="50"/>
      <c r="G15" s="408"/>
      <c r="H15" s="114"/>
      <c r="I15" s="96"/>
    </row>
    <row r="16" spans="1:9" s="1" customFormat="1">
      <c r="A16" s="106" t="s">
        <v>174</v>
      </c>
      <c r="B16" s="113">
        <f>+'Calc.Aux.'!F64+'Calc.Aux.'!F73</f>
        <v>143125431</v>
      </c>
      <c r="C16" s="113">
        <f>+'Calc.Aux.'!G64+'Calc.Aux.'!G73</f>
        <v>-1631609757</v>
      </c>
      <c r="E16" s="408"/>
      <c r="F16" s="50"/>
      <c r="G16" s="408"/>
      <c r="H16" s="114"/>
      <c r="I16" s="96"/>
    </row>
    <row r="17" spans="1:9" s="1" customFormat="1">
      <c r="A17" s="106" t="s">
        <v>175</v>
      </c>
      <c r="B17" s="115">
        <f>+'Calc.Aux.'!F196*-1</f>
        <v>-213222798</v>
      </c>
      <c r="C17" s="115">
        <f>+'Calc.Aux.'!G196*-1</f>
        <v>-369637092</v>
      </c>
      <c r="E17" s="408"/>
      <c r="F17" s="50"/>
      <c r="G17" s="408"/>
      <c r="H17" s="114"/>
      <c r="I17" s="96"/>
    </row>
    <row r="18" spans="1:9" s="1" customFormat="1">
      <c r="A18" s="106" t="s">
        <v>176</v>
      </c>
      <c r="B18" s="115"/>
      <c r="C18" s="115"/>
      <c r="F18" s="50"/>
      <c r="G18" s="408"/>
      <c r="I18" s="96">
        <v>0</v>
      </c>
    </row>
    <row r="19" spans="1:9" s="1" customFormat="1">
      <c r="A19" s="106" t="s">
        <v>177</v>
      </c>
      <c r="B19" s="115">
        <f>+'Calc.Aux.'!F100+'Calc.Aux.'!F106+'Calc.Aux.'!F86</f>
        <v>-112393716</v>
      </c>
      <c r="C19" s="115">
        <f>+'Calc.Aux.'!G100+'Calc.Aux.'!G106+'Calc.Aux.'!G86</f>
        <v>-99329141</v>
      </c>
      <c r="E19" s="408"/>
      <c r="F19" s="50"/>
      <c r="G19" s="408"/>
      <c r="I19" s="96"/>
    </row>
    <row r="20" spans="1:9" s="1" customFormat="1" ht="15">
      <c r="A20" s="116" t="s">
        <v>178</v>
      </c>
      <c r="B20" s="117">
        <f>SUM(B14:B19)</f>
        <v>25256115</v>
      </c>
      <c r="C20" s="406">
        <f>SUM(C14:C19)</f>
        <v>-771491959</v>
      </c>
      <c r="E20" s="408"/>
      <c r="G20" s="408"/>
      <c r="I20" s="96"/>
    </row>
    <row r="21" spans="1:9" s="1" customFormat="1">
      <c r="A21" s="106"/>
      <c r="B21" s="107"/>
      <c r="C21" s="107"/>
      <c r="I21" s="96"/>
    </row>
    <row r="22" spans="1:9" s="1" customFormat="1" ht="15">
      <c r="A22" s="100" t="s">
        <v>179</v>
      </c>
      <c r="B22" s="107"/>
      <c r="C22" s="107"/>
      <c r="I22" s="96"/>
    </row>
    <row r="23" spans="1:9" s="1" customFormat="1">
      <c r="A23" s="106" t="s">
        <v>180</v>
      </c>
      <c r="B23" s="118">
        <f>+'Calc.Aux.'!F142*-1</f>
        <v>-842689501.25</v>
      </c>
      <c r="C23" s="118">
        <f>+'Calc.Aux.'!G142*-1</f>
        <v>-2487827380</v>
      </c>
      <c r="E23" s="408"/>
      <c r="F23" s="50"/>
      <c r="G23" s="408"/>
      <c r="I23" s="96"/>
    </row>
    <row r="24" spans="1:9" s="1" customFormat="1">
      <c r="A24" s="106" t="s">
        <v>181</v>
      </c>
      <c r="B24" s="118"/>
      <c r="C24" s="118"/>
      <c r="F24" s="50"/>
      <c r="I24" s="96"/>
    </row>
    <row r="25" spans="1:9" s="1" customFormat="1">
      <c r="A25" s="106" t="s">
        <v>182</v>
      </c>
      <c r="B25" s="118"/>
      <c r="C25" s="118"/>
      <c r="I25" s="96"/>
    </row>
    <row r="26" spans="1:9" s="1" customFormat="1">
      <c r="A26" s="106" t="s">
        <v>183</v>
      </c>
      <c r="B26" s="118"/>
      <c r="C26" s="118"/>
      <c r="E26" s="421"/>
      <c r="I26" s="96"/>
    </row>
    <row r="27" spans="1:9" s="1" customFormat="1">
      <c r="A27" s="106" t="s">
        <v>184</v>
      </c>
      <c r="B27" s="118"/>
      <c r="C27" s="118"/>
      <c r="E27" s="422"/>
      <c r="I27" s="96"/>
    </row>
    <row r="28" spans="1:9" s="1" customFormat="1">
      <c r="A28" s="106" t="s">
        <v>185</v>
      </c>
      <c r="B28" s="118">
        <f>+'Calc.Aux.'!F123*-1+'Calc.Aux.'!F132</f>
        <v>-21100963</v>
      </c>
      <c r="C28" s="118">
        <f>+'Calc.Aux.'!G123*-1+'Calc.Aux.'!G132</f>
        <v>10533043</v>
      </c>
      <c r="E28" s="408"/>
      <c r="G28" s="408"/>
      <c r="I28" s="96"/>
    </row>
    <row r="29" spans="1:9" s="1" customFormat="1" ht="15">
      <c r="A29" s="116" t="s">
        <v>186</v>
      </c>
      <c r="B29" s="117">
        <f>SUM(B23:B28)</f>
        <v>-863790464.25</v>
      </c>
      <c r="C29" s="117">
        <f>SUM(C23:C28)</f>
        <v>-2477294337</v>
      </c>
      <c r="E29" s="408"/>
      <c r="G29" s="408"/>
      <c r="I29" s="96"/>
    </row>
    <row r="30" spans="1:9" s="1" customFormat="1">
      <c r="A30" s="106"/>
      <c r="B30" s="107"/>
      <c r="C30" s="107"/>
      <c r="I30" s="96"/>
    </row>
    <row r="31" spans="1:9" s="1" customFormat="1" ht="15">
      <c r="A31" s="100" t="s">
        <v>187</v>
      </c>
      <c r="B31" s="107"/>
      <c r="C31" s="107"/>
      <c r="I31" s="96"/>
    </row>
    <row r="32" spans="1:9" s="1" customFormat="1">
      <c r="A32" s="106" t="s">
        <v>188</v>
      </c>
      <c r="B32" s="118">
        <f>+'Calc.Aux.'!F160+'Calc.Aux.'!F166-2</f>
        <v>4069328423</v>
      </c>
      <c r="C32" s="118">
        <f>+'Calc.Aux.'!G160+'Calc.Aux.'!G166</f>
        <v>1708192796</v>
      </c>
      <c r="E32" s="408"/>
      <c r="G32" s="408"/>
      <c r="I32" s="96"/>
    </row>
    <row r="33" spans="1:9" s="1" customFormat="1">
      <c r="A33" s="106" t="s">
        <v>189</v>
      </c>
      <c r="B33" s="118">
        <f>+'Calc.Aux.'!F152</f>
        <v>0</v>
      </c>
      <c r="C33" s="118">
        <f>+'Calc.Aux.'!G152</f>
        <v>0</v>
      </c>
      <c r="I33" s="96"/>
    </row>
    <row r="34" spans="1:9" s="1" customFormat="1">
      <c r="A34" s="106" t="s">
        <v>190</v>
      </c>
      <c r="B34" s="118">
        <f>+'Calc.Aux.'!F184</f>
        <v>-2726911899</v>
      </c>
      <c r="C34" s="118">
        <f>+'Calc.Aux.'!G184</f>
        <v>1143617682</v>
      </c>
      <c r="E34" s="408"/>
      <c r="G34" s="408"/>
      <c r="I34" s="96"/>
    </row>
    <row r="35" spans="1:9" s="1" customFormat="1" ht="15">
      <c r="A35" s="116" t="s">
        <v>191</v>
      </c>
      <c r="B35" s="117">
        <f>B32+B33+B34</f>
        <v>1342416524</v>
      </c>
      <c r="C35" s="117">
        <f>C32+C33+C34</f>
        <v>2851810478</v>
      </c>
      <c r="E35" s="408"/>
      <c r="G35" s="408"/>
      <c r="I35" s="96"/>
    </row>
    <row r="36" spans="1:9" s="1" customFormat="1" ht="15">
      <c r="A36" s="119"/>
      <c r="B36" s="120"/>
      <c r="C36" s="120"/>
      <c r="I36" s="38"/>
    </row>
    <row r="37" spans="1:9" s="1" customFormat="1">
      <c r="A37" s="121" t="s">
        <v>192</v>
      </c>
      <c r="B37" s="118">
        <f>+B35+B29+B20</f>
        <v>503882174.75</v>
      </c>
      <c r="C37" s="118">
        <f>+C35+C29+C20</f>
        <v>-396975818</v>
      </c>
      <c r="D37" s="118">
        <f>D20+D29+D35</f>
        <v>0</v>
      </c>
      <c r="E37" s="408"/>
      <c r="G37" s="408"/>
      <c r="I37" s="96"/>
    </row>
    <row r="38" spans="1:9">
      <c r="A38" s="121" t="s">
        <v>193</v>
      </c>
      <c r="B38" s="107">
        <f>+'Calc.Aux.'!F202</f>
        <v>-36485417</v>
      </c>
      <c r="C38" s="107">
        <f>+'Calc.Aux.'!G202</f>
        <v>-186457233</v>
      </c>
      <c r="E38" s="696"/>
      <c r="G38" s="408"/>
    </row>
    <row r="39" spans="1:9" s="1" customFormat="1">
      <c r="A39" s="121" t="s">
        <v>194</v>
      </c>
      <c r="B39" s="118">
        <f>+C41</f>
        <v>1990981267</v>
      </c>
      <c r="C39" s="107">
        <f>+'3 años'!H14</f>
        <v>2574414318</v>
      </c>
      <c r="E39" s="408"/>
      <c r="G39" s="408"/>
      <c r="H39" s="96"/>
      <c r="I39" s="96"/>
    </row>
    <row r="40" spans="1:9" s="1" customFormat="1">
      <c r="A40" s="106"/>
      <c r="B40" s="107"/>
      <c r="C40" s="107"/>
      <c r="H40" s="96"/>
      <c r="I40" s="96"/>
    </row>
    <row r="41" spans="1:9" s="1" customFormat="1" ht="18.75">
      <c r="A41" s="122" t="s">
        <v>195</v>
      </c>
      <c r="B41" s="123">
        <f>+B37+B39+B38</f>
        <v>2458378024.75</v>
      </c>
      <c r="C41" s="123">
        <f>+C37+C39+C38</f>
        <v>1990981267</v>
      </c>
      <c r="E41" s="114"/>
      <c r="G41" s="114"/>
      <c r="I41" s="96"/>
    </row>
    <row r="42" spans="1:9" s="1" customFormat="1">
      <c r="A42" s="106"/>
      <c r="B42" s="527">
        <f>+BG!F14-B41</f>
        <v>0.25</v>
      </c>
      <c r="C42" s="527">
        <f>+C41-'3 años'!G14</f>
        <v>0</v>
      </c>
      <c r="I42" s="96"/>
    </row>
    <row r="43" spans="1:9">
      <c r="A43" s="106" t="s">
        <v>138</v>
      </c>
      <c r="B43" s="102"/>
      <c r="C43" s="102"/>
    </row>
    <row r="44" spans="1:9">
      <c r="B44" s="102"/>
      <c r="C44" s="102"/>
    </row>
    <row r="45" spans="1:9">
      <c r="B45" s="102"/>
      <c r="C45" s="102"/>
    </row>
    <row r="46" spans="1:9">
      <c r="B46" s="102"/>
      <c r="C46" s="102"/>
    </row>
  </sheetData>
  <mergeCells count="5">
    <mergeCell ref="A3:C3"/>
    <mergeCell ref="A5:C5"/>
    <mergeCell ref="A6:C6"/>
    <mergeCell ref="A7:C7"/>
    <mergeCell ref="A8:C8"/>
  </mergeCells>
  <pageMargins left="0.25" right="0.25" top="0.75" bottom="0.75" header="0.3" footer="0.3"/>
  <pageSetup paperSize="9" scale="87" fitToHeight="0"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5" tint="-0.499984740745262"/>
    <pageSetUpPr fitToPage="1"/>
  </sheetPr>
  <dimension ref="A1:AE23"/>
  <sheetViews>
    <sheetView workbookViewId="0">
      <selection activeCell="B10" sqref="B10"/>
    </sheetView>
  </sheetViews>
  <sheetFormatPr baseColWidth="10" defaultRowHeight="15"/>
  <cols>
    <col min="1" max="1" width="35.85546875" style="133" customWidth="1"/>
    <col min="2" max="2" width="13.28515625" style="133" customWidth="1"/>
    <col min="3" max="3" width="12.7109375" style="133" customWidth="1"/>
    <col min="4" max="4" width="7.140625" style="133" customWidth="1"/>
    <col min="5" max="5" width="25.7109375" style="133" customWidth="1"/>
    <col min="6" max="6" width="14.140625" style="133" bestFit="1" customWidth="1"/>
    <col min="7" max="7" width="14" style="133" bestFit="1" customWidth="1"/>
    <col min="8" max="8" width="11.5703125" style="133" customWidth="1"/>
    <col min="9" max="9" width="12.42578125" style="133" bestFit="1" customWidth="1"/>
    <col min="10" max="15" width="11.5703125" style="133" customWidth="1"/>
  </cols>
  <sheetData>
    <row r="1" spans="1:31">
      <c r="E1" s="153" t="s">
        <v>70</v>
      </c>
    </row>
    <row r="5" spans="1:31">
      <c r="A5" s="125" t="s">
        <v>438</v>
      </c>
      <c r="B5" s="125"/>
      <c r="C5" s="125"/>
      <c r="D5" s="125"/>
      <c r="E5" s="125"/>
      <c r="F5" s="125"/>
      <c r="G5" s="125"/>
      <c r="H5" s="210"/>
      <c r="I5" s="210"/>
      <c r="J5" s="210"/>
      <c r="K5" s="210"/>
      <c r="L5" s="210"/>
      <c r="M5" s="210"/>
      <c r="N5" s="210"/>
      <c r="O5" s="210"/>
      <c r="P5" s="210"/>
      <c r="Q5" s="210"/>
      <c r="R5" s="210"/>
      <c r="S5" s="210"/>
      <c r="T5" s="210"/>
      <c r="U5" s="210"/>
      <c r="V5" s="210"/>
      <c r="W5" s="210"/>
      <c r="X5" s="210"/>
      <c r="Y5" s="210"/>
      <c r="Z5" s="210"/>
      <c r="AA5" s="210"/>
      <c r="AB5" s="210"/>
      <c r="AC5" s="210"/>
      <c r="AD5" s="210"/>
    </row>
    <row r="6" spans="1:31">
      <c r="A6" s="311" t="s">
        <v>2084</v>
      </c>
    </row>
    <row r="7" spans="1:31">
      <c r="C7" s="311"/>
    </row>
    <row r="8" spans="1:31">
      <c r="A8" s="289" t="s">
        <v>439</v>
      </c>
      <c r="B8" s="211">
        <v>2024</v>
      </c>
      <c r="C8" s="211">
        <v>2023</v>
      </c>
      <c r="D8" s="210"/>
      <c r="E8" s="289" t="s">
        <v>440</v>
      </c>
      <c r="F8" s="211">
        <f>+B8</f>
        <v>2024</v>
      </c>
      <c r="G8" s="211">
        <f>+C8</f>
        <v>2023</v>
      </c>
      <c r="H8" s="210"/>
      <c r="I8" s="210"/>
      <c r="J8" s="210"/>
      <c r="K8" s="210"/>
      <c r="L8" s="210"/>
      <c r="M8" s="210"/>
      <c r="N8" s="210"/>
      <c r="O8" s="210"/>
      <c r="P8" s="210"/>
      <c r="Q8" s="210"/>
      <c r="R8" s="210"/>
      <c r="S8" s="210"/>
      <c r="T8" s="210"/>
      <c r="U8" s="210"/>
      <c r="V8" s="210"/>
      <c r="W8" s="210"/>
      <c r="X8" s="210"/>
      <c r="Y8" s="210"/>
      <c r="Z8" s="210"/>
      <c r="AA8" s="210"/>
      <c r="AB8" s="210"/>
      <c r="AC8" s="210"/>
      <c r="AD8" s="210"/>
      <c r="AE8" s="210"/>
    </row>
    <row r="9" spans="1:31">
      <c r="A9" s="504" t="s">
        <v>1023</v>
      </c>
      <c r="B9" s="504">
        <f>-'2024'!C412</f>
        <v>0</v>
      </c>
      <c r="C9" s="504">
        <v>5525</v>
      </c>
      <c r="D9" s="210"/>
      <c r="E9" s="210" t="s">
        <v>431</v>
      </c>
      <c r="F9" s="504">
        <f>+'Detalle 27'!C134+'Detalle 27'!C135+'Detalle 27'!C136+'Detalle 27'!C137</f>
        <v>213222798</v>
      </c>
      <c r="G9" s="504">
        <v>369637092</v>
      </c>
      <c r="H9" s="210"/>
      <c r="I9" s="506"/>
      <c r="J9" s="210"/>
      <c r="K9" s="210"/>
      <c r="L9" s="210"/>
      <c r="M9" s="210"/>
      <c r="N9" s="210"/>
      <c r="O9" s="210"/>
      <c r="P9" s="210"/>
      <c r="Q9" s="210"/>
      <c r="R9" s="210"/>
      <c r="S9" s="210"/>
      <c r="T9" s="210"/>
      <c r="U9" s="210"/>
      <c r="V9" s="210"/>
      <c r="W9" s="210"/>
      <c r="X9" s="210"/>
      <c r="Y9" s="210"/>
      <c r="Z9" s="210"/>
      <c r="AA9" s="210"/>
      <c r="AB9" s="210"/>
      <c r="AC9" s="210"/>
      <c r="AD9" s="210"/>
      <c r="AE9" s="210"/>
    </row>
    <row r="10" spans="1:31">
      <c r="A10" s="504" t="s">
        <v>1024</v>
      </c>
      <c r="B10" s="504">
        <f>'2024'!C413</f>
        <v>9263045</v>
      </c>
      <c r="C10" s="504">
        <v>1450000</v>
      </c>
      <c r="D10" s="210"/>
      <c r="E10" s="210" t="s">
        <v>905</v>
      </c>
      <c r="F10" s="504"/>
      <c r="G10" s="504"/>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row>
    <row r="11" spans="1:31">
      <c r="A11" s="210"/>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row>
    <row r="12" spans="1:31">
      <c r="B12" s="210"/>
      <c r="C12" s="210"/>
      <c r="D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row>
    <row r="13" spans="1:31">
      <c r="A13" s="210"/>
      <c r="B13" s="210"/>
      <c r="C13" s="210"/>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row>
    <row r="14" spans="1:31">
      <c r="A14" s="289" t="s">
        <v>441</v>
      </c>
      <c r="B14" s="312">
        <f>SUM($B9:B13)</f>
        <v>9263045</v>
      </c>
      <c r="C14" s="312">
        <f>SUM($C9:C13)</f>
        <v>1455525</v>
      </c>
      <c r="D14" s="210"/>
      <c r="E14" s="289" t="s">
        <v>442</v>
      </c>
      <c r="F14" s="550">
        <f>SUM($F9:F13)</f>
        <v>213222798</v>
      </c>
      <c r="G14" s="312">
        <f>SUM($G9:G13)</f>
        <v>369637092</v>
      </c>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row>
    <row r="15" spans="1:31">
      <c r="A15" s="210"/>
      <c r="B15" s="210"/>
      <c r="C15" s="210"/>
      <c r="D15" s="210"/>
      <c r="G15" s="508"/>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row>
    <row r="16" spans="1:31">
      <c r="A16" s="133" t="s">
        <v>922</v>
      </c>
      <c r="I16" s="508"/>
    </row>
    <row r="17" spans="4:31">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row>
    <row r="18" spans="4:31">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row>
    <row r="19" spans="4:31">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row>
    <row r="20" spans="4:31">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row>
    <row r="21" spans="4:31">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row>
    <row r="22" spans="4:31">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row>
    <row r="23" spans="4:31">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row>
  </sheetData>
  <hyperlinks>
    <hyperlink ref="E1" location="ER!A1" display="ER" xr:uid="{00000000-0004-0000-2700-000000000000}"/>
  </hyperlinks>
  <pageMargins left="0.25" right="0.25" top="0.75" bottom="0.75" header="0.3" footer="0.3"/>
  <pageSetup scale="71" fitToHeight="0" orientation="portrait" r:id="rId1"/>
  <ignoredErrors>
    <ignoredError sqref="B14:H14" formulaRange="1"/>
  </ignoredError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5" tint="-0.499984740745262"/>
    <pageSetUpPr fitToPage="1"/>
  </sheetPr>
  <dimension ref="A1:AB17"/>
  <sheetViews>
    <sheetView workbookViewId="0">
      <selection activeCell="A6" sqref="A6"/>
    </sheetView>
  </sheetViews>
  <sheetFormatPr baseColWidth="10" defaultRowHeight="15"/>
  <cols>
    <col min="1" max="1" width="38" style="133" customWidth="1"/>
    <col min="2" max="2" width="16.7109375" style="133" customWidth="1"/>
    <col min="3" max="3" width="18.28515625" style="133" customWidth="1"/>
    <col min="4" max="25" width="11.5703125" style="133" customWidth="1"/>
  </cols>
  <sheetData>
    <row r="1" spans="1:28">
      <c r="E1" s="153" t="s">
        <v>70</v>
      </c>
    </row>
    <row r="4" spans="1:28" ht="15.75" customHeight="1">
      <c r="A4" s="125" t="s">
        <v>921</v>
      </c>
      <c r="B4" s="141"/>
      <c r="C4" s="141"/>
      <c r="D4" s="141"/>
      <c r="E4" s="141"/>
      <c r="F4" s="304"/>
      <c r="G4" s="303"/>
      <c r="H4" s="306"/>
      <c r="Z4" s="133"/>
      <c r="AA4" s="133"/>
      <c r="AB4" s="133"/>
    </row>
    <row r="5" spans="1:28" ht="15.75" customHeight="1">
      <c r="A5" s="313" t="s">
        <v>2084</v>
      </c>
      <c r="B5" s="313"/>
      <c r="C5" s="314"/>
      <c r="D5" s="314"/>
      <c r="E5" s="314"/>
      <c r="F5" s="304"/>
      <c r="G5" s="303"/>
      <c r="H5" s="306"/>
      <c r="Z5" s="133"/>
      <c r="AA5" s="133"/>
      <c r="AB5" s="133"/>
    </row>
    <row r="6" spans="1:28">
      <c r="A6" s="304"/>
      <c r="B6" s="837"/>
      <c r="C6" s="837"/>
      <c r="D6" s="306"/>
      <c r="E6" s="306"/>
      <c r="F6" s="304"/>
      <c r="G6" s="303"/>
      <c r="H6" s="306"/>
      <c r="Z6" s="133"/>
      <c r="AA6" s="133"/>
      <c r="AB6" s="133"/>
    </row>
    <row r="7" spans="1:28">
      <c r="A7" s="304"/>
      <c r="D7" s="306"/>
      <c r="E7" s="306"/>
      <c r="F7" s="304"/>
      <c r="G7" s="303"/>
      <c r="H7" s="306"/>
      <c r="Z7" s="133"/>
      <c r="AA7" s="133"/>
      <c r="AB7" s="133"/>
    </row>
    <row r="8" spans="1:28">
      <c r="A8" s="308" t="s">
        <v>83</v>
      </c>
      <c r="B8" s="211">
        <f>+'Nota 29'!F8</f>
        <v>2024</v>
      </c>
      <c r="C8" s="211">
        <f>+'Nota 29'!G8</f>
        <v>2023</v>
      </c>
      <c r="D8" s="306"/>
      <c r="E8" s="306"/>
      <c r="F8" s="304"/>
      <c r="G8" s="303"/>
      <c r="H8" s="306"/>
      <c r="Z8" s="133"/>
      <c r="AA8" s="133"/>
      <c r="AB8" s="133"/>
    </row>
    <row r="9" spans="1:28">
      <c r="A9" s="304" t="s">
        <v>437</v>
      </c>
      <c r="B9" s="304"/>
      <c r="C9" s="304"/>
      <c r="D9" s="306"/>
      <c r="E9" s="306"/>
      <c r="F9" s="304"/>
      <c r="G9" s="303"/>
      <c r="H9" s="306"/>
      <c r="Z9" s="133"/>
      <c r="AA9" s="133"/>
      <c r="AB9" s="133"/>
    </row>
    <row r="10" spans="1:28" hidden="1">
      <c r="A10" s="304"/>
      <c r="B10" s="304"/>
      <c r="C10" s="304"/>
      <c r="D10" s="306"/>
      <c r="E10" s="306"/>
      <c r="F10" s="304"/>
      <c r="G10" s="303"/>
      <c r="H10" s="306"/>
      <c r="Z10" s="133"/>
      <c r="AA10" s="133"/>
      <c r="AB10" s="133"/>
    </row>
    <row r="11" spans="1:28" hidden="1">
      <c r="A11" s="304"/>
      <c r="B11" s="304"/>
      <c r="C11" s="304"/>
      <c r="D11" s="306"/>
      <c r="E11" s="306"/>
      <c r="F11" s="304"/>
      <c r="G11" s="303"/>
      <c r="H11" s="306"/>
      <c r="Z11" s="133"/>
      <c r="AA11" s="133"/>
      <c r="AB11" s="133"/>
    </row>
    <row r="12" spans="1:28" hidden="1">
      <c r="A12" s="304"/>
      <c r="B12" s="304"/>
      <c r="C12" s="304"/>
      <c r="D12" s="306"/>
      <c r="E12" s="306"/>
      <c r="F12" s="304"/>
      <c r="G12" s="303"/>
      <c r="H12" s="306"/>
      <c r="Z12" s="133"/>
      <c r="AA12" s="133"/>
      <c r="AB12" s="133"/>
    </row>
    <row r="13" spans="1:28" hidden="1">
      <c r="A13" s="304"/>
      <c r="B13" s="304"/>
      <c r="C13" s="304"/>
      <c r="D13" s="306"/>
      <c r="E13" s="306"/>
      <c r="F13" s="304"/>
      <c r="G13" s="303"/>
      <c r="H13" s="306"/>
      <c r="Z13" s="133"/>
      <c r="AA13" s="133"/>
      <c r="AB13" s="133"/>
    </row>
    <row r="14" spans="1:28">
      <c r="A14" s="304"/>
      <c r="B14" s="305"/>
      <c r="C14" s="304"/>
      <c r="D14" s="306"/>
      <c r="E14" s="306"/>
      <c r="F14" s="304"/>
      <c r="G14" s="303"/>
      <c r="H14" s="306"/>
      <c r="Z14" s="133"/>
      <c r="AA14" s="133"/>
      <c r="AB14" s="133"/>
    </row>
    <row r="15" spans="1:28">
      <c r="A15" s="304"/>
      <c r="B15" s="305"/>
      <c r="C15" s="304"/>
      <c r="D15" s="306"/>
      <c r="E15" s="306"/>
      <c r="F15" s="304"/>
      <c r="G15" s="303"/>
      <c r="H15" s="306"/>
      <c r="Z15" s="133"/>
      <c r="AA15" s="133"/>
      <c r="AB15" s="133"/>
    </row>
    <row r="16" spans="1:28">
      <c r="A16" s="308" t="s">
        <v>161</v>
      </c>
      <c r="B16" s="312">
        <f>SUM($B9:B15)</f>
        <v>0</v>
      </c>
      <c r="C16" s="312">
        <f>SUM($C9:C15)</f>
        <v>0</v>
      </c>
      <c r="D16" s="306"/>
      <c r="E16" s="306"/>
      <c r="F16" s="304"/>
      <c r="G16" s="303"/>
      <c r="H16" s="306"/>
      <c r="Z16" s="133"/>
      <c r="AA16" s="133"/>
      <c r="AB16" s="133"/>
    </row>
    <row r="17" spans="1:28">
      <c r="A17" s="133" t="s">
        <v>922</v>
      </c>
      <c r="B17" s="305"/>
      <c r="C17" s="306"/>
      <c r="D17" s="306"/>
      <c r="E17" s="306"/>
      <c r="F17" s="304"/>
      <c r="G17" s="303"/>
      <c r="H17" s="306"/>
      <c r="Z17" s="133"/>
      <c r="AA17" s="133"/>
      <c r="AB17" s="133"/>
    </row>
  </sheetData>
  <mergeCells count="1">
    <mergeCell ref="B6:C6"/>
  </mergeCells>
  <hyperlinks>
    <hyperlink ref="E1" location="ER!A1" display="ER" xr:uid="{00000000-0004-0000-2800-000000000000}"/>
  </hyperlinks>
  <pageMargins left="0.25" right="0.25" top="0.75" bottom="0.75" header="0.3" footer="0.3"/>
  <pageSetup fitToHeight="0" orientation="portrait" r:id="rId1"/>
  <ignoredErrors>
    <ignoredError sqref="B16:D16" formulaRange="1"/>
  </ignoredError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5" tint="-0.499984740745262"/>
    <pageSetUpPr fitToPage="1"/>
  </sheetPr>
  <dimension ref="A1:V17"/>
  <sheetViews>
    <sheetView workbookViewId="0">
      <selection activeCell="A6" sqref="A6"/>
    </sheetView>
  </sheetViews>
  <sheetFormatPr baseColWidth="10" defaultRowHeight="15"/>
  <cols>
    <col min="1" max="1" width="38" style="133" customWidth="1"/>
    <col min="2" max="2" width="18.28515625" style="133" customWidth="1"/>
    <col min="3" max="3" width="17.7109375" style="133" customWidth="1"/>
    <col min="4" max="22" width="11.5703125" style="133" customWidth="1"/>
  </cols>
  <sheetData>
    <row r="1" spans="1:8">
      <c r="E1" s="153" t="s">
        <v>70</v>
      </c>
    </row>
    <row r="4" spans="1:8">
      <c r="A4" s="125" t="s">
        <v>443</v>
      </c>
      <c r="B4" s="125"/>
      <c r="C4" s="125"/>
      <c r="D4" s="125"/>
      <c r="E4" s="125"/>
      <c r="F4" s="304"/>
      <c r="G4" s="303"/>
      <c r="H4" s="306"/>
    </row>
    <row r="5" spans="1:8">
      <c r="A5" s="838" t="s">
        <v>2084</v>
      </c>
      <c r="B5" s="838"/>
      <c r="C5" s="306"/>
      <c r="D5" s="306"/>
      <c r="E5" s="306"/>
      <c r="F5" s="304"/>
      <c r="G5" s="303"/>
      <c r="H5" s="306"/>
    </row>
    <row r="6" spans="1:8">
      <c r="A6" s="304"/>
      <c r="B6" s="837"/>
      <c r="C6" s="837"/>
      <c r="D6" s="306"/>
      <c r="E6" s="306"/>
      <c r="F6" s="304"/>
      <c r="G6" s="303"/>
      <c r="H6" s="306"/>
    </row>
    <row r="7" spans="1:8">
      <c r="A7" s="304"/>
      <c r="D7" s="306"/>
      <c r="E7" s="306"/>
      <c r="F7" s="304"/>
      <c r="G7" s="303"/>
      <c r="H7" s="306"/>
    </row>
    <row r="8" spans="1:8">
      <c r="A8" s="308" t="s">
        <v>85</v>
      </c>
      <c r="B8" s="211">
        <f>+'Nota 30'!B8</f>
        <v>2024</v>
      </c>
      <c r="C8" s="211">
        <f>+'Nota 30'!C8</f>
        <v>2023</v>
      </c>
      <c r="D8" s="306"/>
      <c r="E8" s="306"/>
      <c r="F8" s="304"/>
      <c r="G8" s="303"/>
      <c r="H8" s="306"/>
    </row>
    <row r="9" spans="1:8">
      <c r="A9" s="304" t="s">
        <v>437</v>
      </c>
      <c r="B9" s="304"/>
      <c r="C9" s="304"/>
      <c r="D9" s="306"/>
      <c r="E9" s="306"/>
      <c r="F9" s="304"/>
      <c r="G9" s="303"/>
      <c r="H9" s="306"/>
    </row>
    <row r="10" spans="1:8">
      <c r="A10" s="304"/>
      <c r="B10" s="304"/>
      <c r="C10" s="304"/>
      <c r="D10" s="306"/>
      <c r="E10" s="306"/>
      <c r="F10" s="304"/>
      <c r="G10" s="303"/>
      <c r="H10" s="306"/>
    </row>
    <row r="11" spans="1:8" hidden="1">
      <c r="A11" s="304"/>
      <c r="B11" s="304"/>
      <c r="C11" s="304"/>
      <c r="D11" s="306"/>
      <c r="E11" s="306"/>
      <c r="F11" s="304"/>
      <c r="G11" s="303"/>
      <c r="H11" s="306"/>
    </row>
    <row r="12" spans="1:8" hidden="1">
      <c r="A12" s="304"/>
      <c r="B12" s="304"/>
      <c r="C12" s="304"/>
      <c r="D12" s="306"/>
      <c r="E12" s="306"/>
      <c r="F12" s="304"/>
      <c r="G12" s="303"/>
      <c r="H12" s="306"/>
    </row>
    <row r="13" spans="1:8" hidden="1">
      <c r="A13" s="304"/>
      <c r="B13" s="304"/>
      <c r="C13" s="304"/>
      <c r="D13" s="306"/>
      <c r="E13" s="306"/>
      <c r="F13" s="304"/>
      <c r="G13" s="303"/>
      <c r="H13" s="306"/>
    </row>
    <row r="14" spans="1:8" hidden="1">
      <c r="A14" s="304"/>
      <c r="B14" s="305"/>
      <c r="C14" s="304"/>
      <c r="D14" s="306"/>
      <c r="E14" s="306"/>
      <c r="F14" s="304"/>
      <c r="G14" s="303"/>
      <c r="H14" s="306"/>
    </row>
    <row r="15" spans="1:8">
      <c r="A15" s="304"/>
      <c r="B15" s="305"/>
      <c r="C15" s="304"/>
      <c r="D15" s="306"/>
      <c r="E15" s="306"/>
      <c r="F15" s="304"/>
      <c r="G15" s="303"/>
      <c r="H15" s="306"/>
    </row>
    <row r="16" spans="1:8">
      <c r="A16" s="308" t="s">
        <v>161</v>
      </c>
      <c r="B16" s="312">
        <f>SUM($B9:B15)</f>
        <v>0</v>
      </c>
      <c r="C16" s="312">
        <f>SUM($C9:C15)</f>
        <v>0</v>
      </c>
      <c r="D16" s="306"/>
      <c r="E16" s="306"/>
      <c r="F16" s="304"/>
      <c r="G16" s="303"/>
      <c r="H16" s="306"/>
    </row>
    <row r="17" spans="1:8">
      <c r="A17" s="133" t="s">
        <v>922</v>
      </c>
      <c r="B17" s="305"/>
      <c r="C17" s="306"/>
      <c r="D17" s="306"/>
      <c r="E17" s="306"/>
      <c r="F17" s="304"/>
      <c r="G17" s="303"/>
      <c r="H17" s="306"/>
    </row>
  </sheetData>
  <mergeCells count="2">
    <mergeCell ref="A5:B5"/>
    <mergeCell ref="B6:C6"/>
  </mergeCells>
  <hyperlinks>
    <hyperlink ref="E1" location="ER!A1" display="ER" xr:uid="{00000000-0004-0000-2900-000000000000}"/>
  </hyperlinks>
  <pageMargins left="0.25" right="0.25" top="0.75" bottom="0.75" header="0.3" footer="0.3"/>
  <pageSetup fitToHeight="0" orientation="portrait" r:id="rId1"/>
  <ignoredErrors>
    <ignoredError sqref="B16:C16" formulaRange="1"/>
  </ignoredError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5" tint="-0.499984740745262"/>
    <pageSetUpPr fitToPage="1"/>
  </sheetPr>
  <dimension ref="A1:Z12"/>
  <sheetViews>
    <sheetView workbookViewId="0">
      <selection activeCell="C9" sqref="C9"/>
    </sheetView>
  </sheetViews>
  <sheetFormatPr baseColWidth="10" defaultRowHeight="15"/>
  <cols>
    <col min="1" max="1" width="37.28515625" style="133" customWidth="1"/>
    <col min="2" max="3" width="17.28515625" style="133" customWidth="1"/>
    <col min="4" max="26" width="11.5703125" style="133" customWidth="1"/>
  </cols>
  <sheetData>
    <row r="1" spans="1:7">
      <c r="E1" s="153" t="s">
        <v>70</v>
      </c>
    </row>
    <row r="4" spans="1:7">
      <c r="A4" s="315" t="s">
        <v>444</v>
      </c>
      <c r="B4" s="315"/>
      <c r="C4" s="315"/>
      <c r="D4" s="315"/>
      <c r="E4" s="315"/>
      <c r="F4" s="304"/>
      <c r="G4" s="303"/>
    </row>
    <row r="5" spans="1:7">
      <c r="A5" s="316" t="s">
        <v>2084</v>
      </c>
      <c r="B5" s="305"/>
      <c r="C5" s="306"/>
      <c r="D5" s="306"/>
      <c r="E5" s="306"/>
      <c r="F5" s="304"/>
      <c r="G5" s="303"/>
    </row>
    <row r="6" spans="1:7">
      <c r="A6" s="304"/>
      <c r="B6" s="837"/>
      <c r="C6" s="837"/>
      <c r="D6" s="306"/>
      <c r="E6" s="306"/>
      <c r="F6" s="304"/>
      <c r="G6" s="303"/>
    </row>
    <row r="7" spans="1:7">
      <c r="B7" s="211">
        <f>+'Nota 31'!B8</f>
        <v>2024</v>
      </c>
      <c r="C7" s="211">
        <f>+'Nota 31'!C8</f>
        <v>2023</v>
      </c>
      <c r="D7" s="306"/>
      <c r="E7" s="306"/>
      <c r="F7" s="304"/>
      <c r="G7" s="303"/>
    </row>
    <row r="8" spans="1:7">
      <c r="A8" s="308" t="s">
        <v>87</v>
      </c>
      <c r="B8" s="507">
        <f>+'2024'!C577</f>
        <v>0</v>
      </c>
      <c r="C8" s="507">
        <v>0</v>
      </c>
      <c r="D8" s="306"/>
      <c r="E8" s="306"/>
      <c r="F8" s="304"/>
      <c r="G8" s="303"/>
    </row>
    <row r="9" spans="1:7">
      <c r="A9" s="304"/>
      <c r="B9" s="507"/>
      <c r="C9" s="507"/>
      <c r="D9" s="306"/>
      <c r="E9" s="306"/>
      <c r="F9" s="304"/>
      <c r="G9" s="303"/>
    </row>
    <row r="10" spans="1:7">
      <c r="A10" s="304"/>
      <c r="B10" s="305"/>
      <c r="C10" s="304"/>
      <c r="D10" s="306"/>
      <c r="E10" s="306"/>
      <c r="F10" s="304"/>
      <c r="G10" s="303"/>
    </row>
    <row r="11" spans="1:7">
      <c r="A11" s="308" t="s">
        <v>161</v>
      </c>
      <c r="B11" s="312">
        <f>SUM($B8:B10)</f>
        <v>0</v>
      </c>
      <c r="C11" s="312">
        <f>SUM($C8:C10)</f>
        <v>0</v>
      </c>
      <c r="D11" s="306"/>
      <c r="E11" s="306"/>
      <c r="F11" s="304"/>
      <c r="G11" s="303"/>
    </row>
    <row r="12" spans="1:7">
      <c r="A12" s="304"/>
      <c r="B12" s="305"/>
      <c r="C12" s="306"/>
      <c r="D12" s="306"/>
      <c r="E12" s="306"/>
      <c r="F12" s="304"/>
      <c r="G12" s="303"/>
    </row>
  </sheetData>
  <mergeCells count="1">
    <mergeCell ref="B6:C6"/>
  </mergeCells>
  <hyperlinks>
    <hyperlink ref="E1" location="ER!A1" display="ER" xr:uid="{00000000-0004-0000-2A00-000000000000}"/>
  </hyperlinks>
  <pageMargins left="0.25" right="0.25" top="0.75" bottom="0.75" header="0.3" footer="0.3"/>
  <pageSetup fitToHeight="0" orientation="portrait" r:id="rId1"/>
  <ignoredErrors>
    <ignoredError sqref="B11:C12" formulaRange="1"/>
  </ignoredError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5" tint="-0.499984740745262"/>
    <pageSetUpPr fitToPage="1"/>
  </sheetPr>
  <dimension ref="A1:V16"/>
  <sheetViews>
    <sheetView workbookViewId="0">
      <selection activeCell="A12" sqref="A12"/>
    </sheetView>
  </sheetViews>
  <sheetFormatPr baseColWidth="10" defaultRowHeight="15"/>
  <cols>
    <col min="1" max="1" width="27.140625" style="133" customWidth="1"/>
    <col min="2" max="2" width="18.28515625" style="133" customWidth="1"/>
    <col min="3" max="3" width="17.85546875" style="133" customWidth="1"/>
    <col min="4" max="22" width="11.5703125" style="133" customWidth="1"/>
  </cols>
  <sheetData>
    <row r="1" spans="1:8">
      <c r="E1" s="153" t="s">
        <v>70</v>
      </c>
    </row>
    <row r="4" spans="1:8">
      <c r="A4" s="125" t="s">
        <v>445</v>
      </c>
      <c r="B4" s="125"/>
      <c r="C4" s="125"/>
      <c r="D4" s="125"/>
      <c r="E4" s="125"/>
      <c r="F4" s="304"/>
      <c r="G4" s="303"/>
      <c r="H4" s="306"/>
    </row>
    <row r="5" spans="1:8">
      <c r="A5" s="839" t="s">
        <v>2084</v>
      </c>
      <c r="B5" s="839"/>
      <c r="C5" s="306"/>
      <c r="D5" s="306"/>
      <c r="E5" s="306"/>
      <c r="F5" s="304"/>
      <c r="G5" s="303"/>
      <c r="H5" s="306"/>
    </row>
    <row r="6" spans="1:8">
      <c r="A6" s="304"/>
      <c r="D6" s="306"/>
      <c r="E6" s="306"/>
      <c r="F6" s="304"/>
      <c r="G6" s="303"/>
      <c r="H6" s="306"/>
    </row>
    <row r="7" spans="1:8">
      <c r="B7" s="211">
        <f>+'Nota 32'!B7</f>
        <v>2024</v>
      </c>
      <c r="C7" s="211">
        <f>+'Nota 32'!C7</f>
        <v>2023</v>
      </c>
      <c r="D7" s="306"/>
      <c r="E7" s="306"/>
      <c r="F7" s="304"/>
      <c r="G7" s="303"/>
      <c r="H7" s="306"/>
    </row>
    <row r="8" spans="1:8">
      <c r="A8" s="308" t="s">
        <v>446</v>
      </c>
      <c r="D8" s="306"/>
      <c r="E8" s="306"/>
      <c r="F8" s="304"/>
      <c r="G8" s="303"/>
      <c r="H8" s="306"/>
    </row>
    <row r="9" spans="1:8">
      <c r="A9" s="317" t="s">
        <v>447</v>
      </c>
      <c r="B9" s="304"/>
      <c r="C9" s="304"/>
      <c r="D9" s="306"/>
      <c r="E9" s="306"/>
      <c r="F9" s="304"/>
      <c r="G9" s="303"/>
      <c r="H9" s="306"/>
    </row>
    <row r="10" spans="1:8" ht="13.9" customHeight="1">
      <c r="A10" s="304"/>
      <c r="B10" s="304"/>
      <c r="C10" s="304"/>
      <c r="D10" s="306"/>
      <c r="E10" s="306"/>
      <c r="F10" s="304"/>
      <c r="G10" s="303"/>
      <c r="H10" s="306"/>
    </row>
    <row r="11" spans="1:8">
      <c r="A11" s="154" t="s">
        <v>2483</v>
      </c>
      <c r="B11" s="304"/>
      <c r="C11" s="304"/>
      <c r="D11" s="306"/>
      <c r="E11" s="306"/>
      <c r="F11" s="304"/>
      <c r="G11" s="303"/>
      <c r="H11" s="306"/>
    </row>
    <row r="12" spans="1:8">
      <c r="A12" s="304"/>
      <c r="B12" s="304"/>
      <c r="C12" s="304"/>
      <c r="D12" s="306"/>
      <c r="E12" s="306"/>
      <c r="F12" s="304"/>
      <c r="G12" s="303"/>
      <c r="H12" s="306"/>
    </row>
    <row r="13" spans="1:8">
      <c r="A13" s="304"/>
      <c r="B13" s="305"/>
      <c r="C13" s="304"/>
      <c r="D13" s="306"/>
      <c r="E13" s="306"/>
      <c r="F13" s="304"/>
      <c r="G13" s="303"/>
      <c r="H13" s="306"/>
    </row>
    <row r="14" spans="1:8">
      <c r="A14" s="304"/>
      <c r="B14" s="305"/>
      <c r="C14" s="304"/>
      <c r="D14" s="306"/>
      <c r="E14" s="306"/>
      <c r="F14" s="304"/>
      <c r="G14" s="303"/>
      <c r="H14" s="306"/>
    </row>
    <row r="15" spans="1:8">
      <c r="A15" s="304" t="s">
        <v>161</v>
      </c>
      <c r="B15" s="312">
        <f>SUM($B8:B14)</f>
        <v>0</v>
      </c>
      <c r="C15" s="312">
        <f>SUM($C8:C14)</f>
        <v>0</v>
      </c>
      <c r="D15" s="306"/>
      <c r="E15" s="306"/>
      <c r="F15" s="304"/>
      <c r="G15" s="303"/>
      <c r="H15" s="306"/>
    </row>
    <row r="16" spans="1:8">
      <c r="A16" s="304"/>
      <c r="B16" s="305"/>
      <c r="C16" s="306"/>
      <c r="D16" s="306"/>
      <c r="E16" s="306"/>
      <c r="F16" s="304"/>
      <c r="G16" s="303"/>
      <c r="H16" s="306"/>
    </row>
  </sheetData>
  <mergeCells count="1">
    <mergeCell ref="A5:B5"/>
  </mergeCells>
  <hyperlinks>
    <hyperlink ref="E1" location="ER!A1" display="ER" xr:uid="{00000000-0004-0000-2B00-000000000000}"/>
  </hyperlinks>
  <pageMargins left="0.25" right="0.25" top="0.75" bottom="0.75" header="0.3" footer="0.3"/>
  <pageSetup fitToHeight="0" orientation="portrait" r:id="rId1"/>
  <ignoredErrors>
    <ignoredError sqref="B15:C15" formulaRange="1"/>
  </ignoredError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5" tint="-0.499984740745262"/>
    <pageSetUpPr fitToPage="1"/>
  </sheetPr>
  <dimension ref="A1:V15"/>
  <sheetViews>
    <sheetView workbookViewId="0">
      <selection activeCell="A16" sqref="A16"/>
    </sheetView>
  </sheetViews>
  <sheetFormatPr baseColWidth="10" defaultRowHeight="15"/>
  <cols>
    <col min="1" max="1" width="51.28515625" style="133" customWidth="1"/>
    <col min="2" max="2" width="18.140625" style="133" customWidth="1"/>
    <col min="3" max="3" width="17.7109375" style="133" customWidth="1"/>
    <col min="4" max="22" width="11.5703125" style="133" customWidth="1"/>
  </cols>
  <sheetData>
    <row r="1" spans="1:8">
      <c r="E1" s="153" t="s">
        <v>70</v>
      </c>
    </row>
    <row r="4" spans="1:8">
      <c r="A4" s="125" t="s">
        <v>448</v>
      </c>
      <c r="B4" s="125"/>
      <c r="C4" s="125"/>
      <c r="D4" s="125"/>
      <c r="E4" s="125"/>
      <c r="F4" s="304"/>
      <c r="G4" s="303"/>
      <c r="H4" s="306"/>
    </row>
    <row r="5" spans="1:8">
      <c r="A5" s="839" t="s">
        <v>2084</v>
      </c>
      <c r="B5" s="839"/>
      <c r="C5" s="306"/>
      <c r="D5" s="306"/>
      <c r="E5" s="306"/>
      <c r="F5" s="304"/>
      <c r="G5" s="303"/>
      <c r="H5" s="306"/>
    </row>
    <row r="6" spans="1:8">
      <c r="A6" s="304"/>
      <c r="D6" s="306"/>
      <c r="E6" s="306"/>
      <c r="F6" s="304"/>
      <c r="G6" s="303"/>
      <c r="H6" s="306"/>
    </row>
    <row r="7" spans="1:8" ht="25.5">
      <c r="A7" s="318" t="s">
        <v>91</v>
      </c>
      <c r="B7" s="211">
        <f>+'Nota 33'!B7</f>
        <v>2024</v>
      </c>
      <c r="C7" s="211">
        <f>+'Nota 33'!C7</f>
        <v>2023</v>
      </c>
      <c r="D7" s="306"/>
      <c r="E7" s="306"/>
      <c r="F7" s="304"/>
      <c r="G7" s="303"/>
      <c r="H7" s="306"/>
    </row>
    <row r="8" spans="1:8">
      <c r="D8" s="306"/>
      <c r="E8" s="306"/>
      <c r="F8" s="304"/>
      <c r="G8" s="303"/>
      <c r="H8" s="306"/>
    </row>
    <row r="9" spans="1:8">
      <c r="A9" s="304" t="s">
        <v>449</v>
      </c>
      <c r="B9" s="304"/>
      <c r="C9" s="304"/>
      <c r="D9" s="306"/>
      <c r="E9" s="306"/>
      <c r="F9" s="304"/>
      <c r="G9" s="303"/>
      <c r="H9" s="306"/>
    </row>
    <row r="10" spans="1:8">
      <c r="A10" s="304" t="s">
        <v>135</v>
      </c>
      <c r="B10" s="304"/>
      <c r="C10" s="304"/>
      <c r="D10" s="306"/>
      <c r="E10" s="306"/>
      <c r="F10" s="304"/>
      <c r="G10" s="303"/>
      <c r="H10" s="306"/>
    </row>
    <row r="11" spans="1:8">
      <c r="A11" s="319" t="s">
        <v>450</v>
      </c>
      <c r="B11" s="304"/>
      <c r="C11" s="304"/>
      <c r="D11" s="306"/>
      <c r="E11" s="306"/>
      <c r="F11" s="304"/>
      <c r="G11" s="303"/>
      <c r="H11" s="306"/>
    </row>
    <row r="12" spans="1:8">
      <c r="A12" s="304" t="s">
        <v>161</v>
      </c>
      <c r="B12" s="312">
        <f>SUM($B8:B11)</f>
        <v>0</v>
      </c>
      <c r="C12" s="312">
        <f>SUM($C8:C11)</f>
        <v>0</v>
      </c>
      <c r="D12" s="306"/>
      <c r="E12" s="306"/>
      <c r="F12" s="304"/>
      <c r="G12" s="303"/>
      <c r="H12" s="306"/>
    </row>
    <row r="13" spans="1:8">
      <c r="A13" s="304"/>
      <c r="B13" s="305"/>
      <c r="C13" s="306"/>
      <c r="D13" s="306"/>
      <c r="E13" s="306"/>
      <c r="F13" s="304"/>
      <c r="G13" s="303"/>
      <c r="H13" s="306"/>
    </row>
    <row r="15" spans="1:8">
      <c r="A15" s="154" t="s">
        <v>2484</v>
      </c>
    </row>
  </sheetData>
  <mergeCells count="1">
    <mergeCell ref="A5:B5"/>
  </mergeCells>
  <hyperlinks>
    <hyperlink ref="E1" location="ER!A1" display="ER" xr:uid="{00000000-0004-0000-2C00-000000000000}"/>
  </hyperlinks>
  <pageMargins left="0.25" right="0.25" top="0.75" bottom="0.75" header="0.3" footer="0.3"/>
  <pageSetup scale="92" orientation="portrait" r:id="rId1"/>
  <ignoredErrors>
    <ignoredError sqref="B12:C12" formulaRange="1"/>
  </ignoredError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5" tint="-0.499984740745262"/>
    <pageSetUpPr fitToPage="1"/>
  </sheetPr>
  <dimension ref="A1:N13"/>
  <sheetViews>
    <sheetView topLeftCell="A4" workbookViewId="0">
      <selection activeCell="C7" sqref="C7"/>
    </sheetView>
  </sheetViews>
  <sheetFormatPr baseColWidth="10" defaultColWidth="11.28515625" defaultRowHeight="15"/>
  <cols>
    <col min="1" max="1" width="42.140625" style="133" customWidth="1"/>
    <col min="2" max="4" width="24.28515625" style="133" customWidth="1"/>
    <col min="5" max="5" width="7" style="133" customWidth="1"/>
    <col min="6" max="6" width="12.85546875" style="133" customWidth="1"/>
    <col min="7" max="7" width="11.28515625" style="133"/>
    <col min="8" max="8" width="17.28515625" style="133" customWidth="1"/>
    <col min="9" max="14" width="11.28515625" style="133"/>
  </cols>
  <sheetData>
    <row r="1" spans="1:9">
      <c r="E1" s="153" t="s">
        <v>70</v>
      </c>
    </row>
    <row r="2" spans="1:9">
      <c r="C2" s="136"/>
    </row>
    <row r="4" spans="1:9">
      <c r="A4" s="141" t="s">
        <v>451</v>
      </c>
      <c r="B4" s="141"/>
      <c r="C4" s="141"/>
      <c r="D4" s="141"/>
      <c r="E4" s="141"/>
    </row>
    <row r="5" spans="1:9" ht="72.75">
      <c r="A5" s="320" t="s">
        <v>452</v>
      </c>
      <c r="B5" s="320"/>
      <c r="C5" s="320"/>
      <c r="D5" s="320"/>
      <c r="E5" s="320"/>
      <c r="F5" s="320"/>
      <c r="G5" s="320"/>
      <c r="H5" s="320"/>
      <c r="I5" s="320"/>
    </row>
    <row r="6" spans="1:9" ht="15" customHeight="1">
      <c r="B6" s="290"/>
    </row>
    <row r="7" spans="1:9" ht="15" customHeight="1">
      <c r="B7" s="211">
        <f>+'Nota 34'!B7</f>
        <v>2024</v>
      </c>
      <c r="C7" s="211">
        <f>+'Nota 34'!C7</f>
        <v>2023</v>
      </c>
    </row>
    <row r="8" spans="1:9" s="133" customFormat="1" ht="15" customHeight="1">
      <c r="A8" s="293" t="s">
        <v>453</v>
      </c>
      <c r="B8" s="321">
        <v>0</v>
      </c>
      <c r="C8" s="321">
        <v>0</v>
      </c>
      <c r="D8" s="322"/>
      <c r="E8" s="322"/>
      <c r="F8" s="322"/>
      <c r="G8" s="322"/>
      <c r="H8" s="322"/>
      <c r="I8" s="322"/>
    </row>
    <row r="9" spans="1:9" ht="15" customHeight="1">
      <c r="A9" t="s">
        <v>454</v>
      </c>
      <c r="B9" s="323">
        <f>[1]ER!C31</f>
        <v>0</v>
      </c>
      <c r="C9" s="323">
        <f>[1]ER!D31</f>
        <v>0</v>
      </c>
    </row>
    <row r="10" spans="1:9" ht="15" customHeight="1">
      <c r="A10" s="324" t="s">
        <v>455</v>
      </c>
      <c r="B10" s="325">
        <f>IFERROR(B9/B8,0)</f>
        <v>0</v>
      </c>
      <c r="C10" s="325">
        <f>IFERROR(C9/C8,0)</f>
        <v>0</v>
      </c>
      <c r="D10" s="322"/>
      <c r="E10" s="322"/>
      <c r="F10" s="322"/>
      <c r="G10" s="322"/>
      <c r="H10" s="322"/>
      <c r="I10" s="322"/>
    </row>
    <row r="11" spans="1:9" ht="15" customHeight="1"/>
    <row r="12" spans="1:9" ht="15" customHeight="1">
      <c r="A12" s="322"/>
      <c r="B12" s="322"/>
      <c r="C12" s="322"/>
      <c r="D12" s="322"/>
      <c r="E12" s="322"/>
      <c r="F12" s="322"/>
      <c r="G12" s="322"/>
      <c r="H12" s="322"/>
      <c r="I12" s="322"/>
    </row>
    <row r="13" spans="1:9" ht="15" customHeight="1"/>
  </sheetData>
  <hyperlinks>
    <hyperlink ref="E1" location="ER!A1" display="ER" xr:uid="{00000000-0004-0000-2D00-000000000000}"/>
  </hyperlinks>
  <pageMargins left="0.25" right="0.25" top="0.75" bottom="0.75" header="0.3" footer="0.3"/>
  <pageSetup scale="83" fitToHeight="0"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5" tint="-0.499984740745262"/>
    <pageSetUpPr fitToPage="1"/>
  </sheetPr>
  <dimension ref="A1:N56"/>
  <sheetViews>
    <sheetView workbookViewId="0">
      <selection activeCell="F10" sqref="F10"/>
    </sheetView>
  </sheetViews>
  <sheetFormatPr baseColWidth="10" defaultRowHeight="15"/>
  <cols>
    <col min="1" max="3" width="24.28515625" style="133" customWidth="1"/>
    <col min="4" max="4" width="27.140625" style="133" customWidth="1"/>
    <col min="5" max="5" width="24.28515625" style="133" customWidth="1"/>
    <col min="6" max="6" width="12.85546875" style="133" customWidth="1"/>
    <col min="7" max="7" width="11.5703125" style="133" customWidth="1"/>
    <col min="8" max="8" width="17.28515625" style="133" customWidth="1"/>
    <col min="9" max="14" width="11.5703125" style="133" customWidth="1"/>
  </cols>
  <sheetData>
    <row r="1" spans="1:14">
      <c r="E1" s="153" t="s">
        <v>113</v>
      </c>
    </row>
    <row r="2" spans="1:14">
      <c r="C2" s="136"/>
    </row>
    <row r="4" spans="1:14">
      <c r="A4" s="818" t="s">
        <v>456</v>
      </c>
      <c r="B4" s="818"/>
      <c r="C4" s="818"/>
      <c r="D4" s="818"/>
      <c r="E4" s="818"/>
      <c r="F4" s="326"/>
      <c r="G4" s="326"/>
      <c r="H4" s="326"/>
      <c r="I4" s="326"/>
      <c r="J4"/>
      <c r="K4"/>
      <c r="L4"/>
      <c r="M4"/>
      <c r="N4"/>
    </row>
    <row r="6" spans="1:14" s="294" customFormat="1">
      <c r="A6" s="293" t="s">
        <v>457</v>
      </c>
      <c r="B6" s="293"/>
      <c r="C6" s="293"/>
      <c r="D6" s="293"/>
      <c r="E6" s="293"/>
      <c r="F6" s="293"/>
      <c r="G6" s="293"/>
      <c r="H6" s="293"/>
      <c r="I6" s="293"/>
      <c r="J6" s="293"/>
      <c r="K6" s="293"/>
      <c r="L6" s="293"/>
      <c r="M6" s="293"/>
      <c r="N6" s="293"/>
    </row>
    <row r="7" spans="1:14" s="294" customFormat="1">
      <c r="A7" s="293"/>
      <c r="B7" s="293"/>
      <c r="C7" s="293"/>
      <c r="D7" s="293"/>
      <c r="E7" s="293"/>
      <c r="F7" s="293"/>
      <c r="G7" s="293"/>
      <c r="H7" s="293"/>
      <c r="I7" s="293"/>
      <c r="J7" s="293"/>
      <c r="K7" s="293"/>
      <c r="L7" s="293"/>
      <c r="M7" s="293"/>
      <c r="N7" s="293"/>
    </row>
    <row r="8" spans="1:14" s="294" customFormat="1" ht="15.75" thickBot="1">
      <c r="A8" s="36" t="s">
        <v>2485</v>
      </c>
      <c r="B8" s="36"/>
      <c r="C8" s="36"/>
      <c r="D8" s="36"/>
      <c r="E8" s="36"/>
      <c r="F8" s="36"/>
      <c r="G8" s="36"/>
      <c r="H8" s="293"/>
      <c r="I8" s="293"/>
      <c r="J8" s="293"/>
      <c r="K8" s="293"/>
      <c r="L8" s="293"/>
      <c r="M8" s="293"/>
      <c r="N8" s="293"/>
    </row>
    <row r="9" spans="1:14" s="294" customFormat="1" ht="15.75" thickBot="1">
      <c r="A9" s="327" t="s">
        <v>458</v>
      </c>
      <c r="B9" s="328" t="s">
        <v>459</v>
      </c>
      <c r="C9" s="327" t="s">
        <v>359</v>
      </c>
      <c r="D9" s="327" t="s">
        <v>460</v>
      </c>
      <c r="E9" s="327" t="s">
        <v>461</v>
      </c>
      <c r="F9" s="293"/>
      <c r="G9" s="293"/>
      <c r="H9" s="293"/>
      <c r="I9" s="293"/>
      <c r="J9" s="293"/>
      <c r="K9" s="293"/>
      <c r="L9" s="293"/>
      <c r="M9" s="293"/>
      <c r="N9" s="293"/>
    </row>
    <row r="10" spans="1:14" s="294" customFormat="1" ht="36.75" customHeight="1" thickBot="1">
      <c r="A10" s="564" t="s">
        <v>1720</v>
      </c>
      <c r="B10" s="565" t="s">
        <v>1721</v>
      </c>
      <c r="C10" s="565" t="s">
        <v>1722</v>
      </c>
      <c r="D10" s="566">
        <v>1846153800</v>
      </c>
      <c r="E10" s="567" t="s">
        <v>1723</v>
      </c>
      <c r="F10" s="293"/>
      <c r="G10" s="293"/>
      <c r="H10" s="293"/>
      <c r="I10" s="293"/>
      <c r="J10" s="293"/>
      <c r="K10" s="293"/>
      <c r="L10" s="293"/>
      <c r="M10" s="293"/>
      <c r="N10" s="293"/>
    </row>
    <row r="11" spans="1:14" s="294" customFormat="1" ht="36.75" customHeight="1" thickBot="1">
      <c r="A11" s="564" t="s">
        <v>1720</v>
      </c>
      <c r="B11" s="565" t="s">
        <v>1724</v>
      </c>
      <c r="C11" s="565" t="s">
        <v>1722</v>
      </c>
      <c r="D11" s="566">
        <v>496309562</v>
      </c>
      <c r="E11" s="567" t="s">
        <v>1723</v>
      </c>
      <c r="F11" s="293"/>
      <c r="G11" s="293"/>
      <c r="H11" s="293"/>
      <c r="I11" s="293"/>
      <c r="J11" s="293"/>
      <c r="K11" s="293"/>
      <c r="L11" s="293"/>
      <c r="M11" s="293"/>
      <c r="N11" s="293"/>
    </row>
    <row r="12" spans="1:14" s="294" customFormat="1">
      <c r="A12" s="293"/>
      <c r="B12" s="293"/>
      <c r="C12" s="293"/>
      <c r="D12" s="293"/>
      <c r="E12" s="293"/>
      <c r="F12" s="293"/>
      <c r="G12" s="293"/>
      <c r="H12" s="293"/>
      <c r="I12" s="293"/>
      <c r="J12" s="293"/>
      <c r="K12" s="293"/>
      <c r="L12" s="293"/>
      <c r="M12" s="293"/>
      <c r="N12" s="293"/>
    </row>
    <row r="13" spans="1:14" s="294" customFormat="1" ht="15.75" thickBot="1">
      <c r="A13" s="36" t="s">
        <v>2486</v>
      </c>
      <c r="B13" s="329"/>
      <c r="C13" s="329"/>
      <c r="D13" s="329"/>
      <c r="E13" s="329"/>
      <c r="F13" s="293"/>
      <c r="G13" s="293"/>
      <c r="H13" s="293"/>
      <c r="I13" s="293"/>
      <c r="J13" s="293"/>
      <c r="K13" s="293"/>
      <c r="L13" s="293"/>
      <c r="M13" s="293"/>
      <c r="N13" s="293"/>
    </row>
    <row r="14" spans="1:14" s="294" customFormat="1" ht="30.2" customHeight="1" thickBot="1">
      <c r="A14" s="327" t="s">
        <v>458</v>
      </c>
      <c r="B14" s="328" t="s">
        <v>459</v>
      </c>
      <c r="C14" s="327" t="s">
        <v>359</v>
      </c>
      <c r="D14" s="327" t="s">
        <v>460</v>
      </c>
      <c r="E14" s="327" t="s">
        <v>461</v>
      </c>
      <c r="F14" s="293"/>
      <c r="G14" s="293"/>
      <c r="H14" s="293"/>
      <c r="I14" s="293"/>
      <c r="J14" s="293"/>
      <c r="K14" s="293"/>
      <c r="L14" s="293"/>
      <c r="M14" s="293"/>
      <c r="N14" s="293"/>
    </row>
    <row r="15" spans="1:14" s="294" customFormat="1" ht="34.5" customHeight="1" thickBot="1">
      <c r="A15" s="564" t="s">
        <v>1720</v>
      </c>
      <c r="B15" s="565" t="s">
        <v>1721</v>
      </c>
      <c r="C15" s="565" t="s">
        <v>1722</v>
      </c>
      <c r="D15" s="566">
        <v>1522223407</v>
      </c>
      <c r="E15" s="567" t="s">
        <v>1723</v>
      </c>
      <c r="F15" s="293"/>
      <c r="G15" s="293"/>
      <c r="H15" s="293"/>
      <c r="I15" s="293"/>
      <c r="J15" s="293"/>
      <c r="K15" s="293"/>
      <c r="L15" s="293"/>
      <c r="M15" s="293"/>
      <c r="N15" s="293"/>
    </row>
    <row r="16" spans="1:14" s="294" customFormat="1" ht="34.5" customHeight="1" thickBot="1">
      <c r="A16" s="564" t="s">
        <v>1720</v>
      </c>
      <c r="B16" s="565" t="s">
        <v>1724</v>
      </c>
      <c r="C16" s="565" t="s">
        <v>1722</v>
      </c>
      <c r="D16" s="566">
        <v>856249447</v>
      </c>
      <c r="E16" s="567" t="s">
        <v>1723</v>
      </c>
      <c r="F16" s="293"/>
      <c r="G16" s="293"/>
      <c r="H16" s="293"/>
      <c r="I16" s="293"/>
      <c r="J16" s="293"/>
      <c r="K16" s="293"/>
      <c r="L16" s="293"/>
      <c r="M16" s="293"/>
      <c r="N16" s="293"/>
    </row>
    <row r="17" spans="1:14" s="294" customFormat="1">
      <c r="A17" s="293"/>
      <c r="B17" s="293"/>
      <c r="C17" s="293"/>
      <c r="D17" s="293"/>
      <c r="E17" s="293"/>
      <c r="F17" s="293"/>
      <c r="G17" s="293"/>
      <c r="H17" s="293"/>
      <c r="I17" s="293"/>
      <c r="J17" s="293"/>
      <c r="K17" s="293"/>
      <c r="L17" s="293"/>
      <c r="M17" s="293"/>
      <c r="N17" s="293"/>
    </row>
    <row r="18" spans="1:14" s="294" customFormat="1">
      <c r="A18" s="293"/>
      <c r="B18" s="293"/>
      <c r="C18" s="293"/>
      <c r="D18" s="293"/>
      <c r="E18" s="293"/>
      <c r="F18" s="293"/>
      <c r="G18" s="293"/>
      <c r="H18" s="293"/>
      <c r="I18" s="293"/>
      <c r="J18" s="293"/>
      <c r="K18" s="293"/>
      <c r="L18" s="293"/>
      <c r="M18" s="293"/>
      <c r="N18" s="293"/>
    </row>
    <row r="19" spans="1:14" s="294" customFormat="1">
      <c r="A19" s="293"/>
      <c r="B19" s="293"/>
      <c r="C19" s="293"/>
      <c r="D19" s="293"/>
      <c r="E19" s="293"/>
      <c r="F19" s="293"/>
      <c r="G19" s="293"/>
      <c r="H19" s="293"/>
      <c r="I19" s="293"/>
      <c r="J19" s="293"/>
      <c r="K19" s="293"/>
      <c r="L19" s="293"/>
      <c r="M19" s="293"/>
      <c r="N19" s="293"/>
    </row>
    <row r="20" spans="1:14" s="294" customFormat="1">
      <c r="A20" s="293"/>
      <c r="B20" s="293"/>
      <c r="C20" s="293"/>
      <c r="D20" s="293"/>
      <c r="E20" s="293"/>
      <c r="F20" s="293"/>
      <c r="G20" s="293"/>
      <c r="H20" s="293"/>
      <c r="I20" s="293"/>
      <c r="J20" s="293"/>
      <c r="K20" s="293"/>
      <c r="L20" s="293"/>
      <c r="M20" s="293"/>
      <c r="N20" s="293"/>
    </row>
    <row r="21" spans="1:14" s="294" customFormat="1">
      <c r="A21" s="293"/>
      <c r="B21" s="293"/>
      <c r="C21" s="293"/>
      <c r="D21" s="293"/>
      <c r="E21" s="293"/>
      <c r="F21" s="293"/>
      <c r="G21" s="293"/>
      <c r="H21" s="293"/>
      <c r="I21" s="293"/>
      <c r="J21" s="293"/>
      <c r="K21" s="293"/>
      <c r="L21" s="293"/>
      <c r="M21" s="293"/>
      <c r="N21" s="293"/>
    </row>
    <row r="22" spans="1:14" s="294" customFormat="1">
      <c r="A22" s="293"/>
      <c r="B22" s="293"/>
      <c r="C22" s="293"/>
      <c r="D22" s="293"/>
      <c r="E22" s="293"/>
      <c r="F22" s="293"/>
      <c r="G22" s="293"/>
      <c r="H22" s="293"/>
      <c r="I22" s="293"/>
      <c r="J22" s="293"/>
      <c r="K22" s="293"/>
      <c r="L22" s="293"/>
      <c r="M22" s="293"/>
      <c r="N22" s="293"/>
    </row>
    <row r="23" spans="1:14" s="294" customFormat="1">
      <c r="A23" s="293"/>
      <c r="B23" s="293"/>
      <c r="C23" s="293"/>
      <c r="D23" s="293"/>
      <c r="E23" s="293"/>
      <c r="F23" s="293"/>
      <c r="G23" s="293"/>
      <c r="H23" s="293"/>
      <c r="I23" s="293"/>
      <c r="J23" s="293"/>
      <c r="K23" s="293"/>
      <c r="L23" s="293"/>
      <c r="M23" s="293"/>
      <c r="N23" s="293"/>
    </row>
    <row r="24" spans="1:14" s="294" customFormat="1">
      <c r="A24" s="293"/>
      <c r="B24" s="293"/>
      <c r="C24" s="293"/>
      <c r="D24" s="293"/>
      <c r="E24" s="293"/>
      <c r="F24" s="293"/>
      <c r="G24" s="293"/>
      <c r="H24" s="293"/>
      <c r="I24" s="293"/>
      <c r="J24" s="293"/>
      <c r="K24" s="293"/>
      <c r="L24" s="293"/>
      <c r="M24" s="293"/>
      <c r="N24" s="293"/>
    </row>
    <row r="25" spans="1:14" s="294" customFormat="1">
      <c r="A25" s="293"/>
      <c r="B25" s="293"/>
      <c r="C25" s="293"/>
      <c r="D25" s="293"/>
      <c r="E25" s="293"/>
      <c r="F25" s="293"/>
      <c r="G25" s="293"/>
      <c r="H25" s="293"/>
      <c r="I25" s="293"/>
      <c r="J25" s="293"/>
      <c r="K25" s="293"/>
      <c r="L25" s="293"/>
      <c r="M25" s="293"/>
      <c r="N25" s="293"/>
    </row>
    <row r="26" spans="1:14" s="294" customFormat="1">
      <c r="A26" s="293"/>
      <c r="B26" s="293"/>
      <c r="C26" s="293"/>
      <c r="D26" s="293"/>
      <c r="E26" s="293"/>
      <c r="F26" s="293"/>
      <c r="G26" s="293"/>
      <c r="H26" s="293"/>
      <c r="I26" s="293"/>
      <c r="J26" s="293"/>
      <c r="K26" s="293"/>
      <c r="L26" s="293"/>
      <c r="M26" s="293"/>
      <c r="N26" s="293"/>
    </row>
    <row r="27" spans="1:14" s="294" customFormat="1">
      <c r="A27" s="293"/>
      <c r="B27" s="293"/>
      <c r="C27" s="293"/>
      <c r="D27" s="293"/>
      <c r="E27" s="293"/>
      <c r="F27" s="293"/>
      <c r="G27" s="293"/>
      <c r="H27" s="293"/>
      <c r="I27" s="293"/>
      <c r="J27" s="293"/>
      <c r="K27" s="293"/>
      <c r="L27" s="293"/>
      <c r="M27" s="293"/>
      <c r="N27" s="293"/>
    </row>
    <row r="28" spans="1:14" s="294" customFormat="1">
      <c r="A28" s="293"/>
      <c r="B28" s="293"/>
      <c r="C28" s="293"/>
      <c r="D28" s="293"/>
      <c r="E28" s="293"/>
      <c r="F28" s="293"/>
      <c r="G28" s="293"/>
      <c r="H28" s="293"/>
      <c r="I28" s="293"/>
      <c r="J28" s="293"/>
      <c r="K28" s="293"/>
      <c r="L28" s="293"/>
      <c r="M28" s="293"/>
      <c r="N28" s="293"/>
    </row>
    <row r="29" spans="1:14" s="294" customFormat="1">
      <c r="A29" s="293"/>
      <c r="B29" s="293"/>
      <c r="C29" s="293"/>
      <c r="D29" s="293"/>
      <c r="E29" s="293"/>
      <c r="F29" s="293"/>
      <c r="G29" s="293"/>
      <c r="H29" s="293"/>
      <c r="I29" s="293"/>
      <c r="J29" s="293"/>
      <c r="K29" s="293"/>
      <c r="L29" s="293"/>
      <c r="M29" s="293"/>
      <c r="N29" s="293"/>
    </row>
    <row r="30" spans="1:14" s="294" customFormat="1">
      <c r="A30" s="293"/>
      <c r="B30" s="293"/>
      <c r="C30" s="293"/>
      <c r="D30" s="293"/>
      <c r="E30" s="293"/>
      <c r="F30" s="293"/>
      <c r="G30" s="293"/>
      <c r="H30" s="293"/>
      <c r="I30" s="293"/>
      <c r="J30" s="293"/>
      <c r="K30" s="293"/>
      <c r="L30" s="293"/>
      <c r="M30" s="293"/>
      <c r="N30" s="293"/>
    </row>
    <row r="31" spans="1:14" s="294" customFormat="1">
      <c r="A31" s="293"/>
      <c r="B31" s="293"/>
      <c r="C31" s="293"/>
      <c r="D31" s="293"/>
      <c r="E31" s="293"/>
      <c r="F31" s="293"/>
      <c r="G31" s="293"/>
      <c r="H31" s="293"/>
      <c r="I31" s="293"/>
      <c r="J31" s="293"/>
      <c r="K31" s="293"/>
      <c r="L31" s="293"/>
      <c r="M31" s="293"/>
      <c r="N31" s="293"/>
    </row>
    <row r="32" spans="1:14" s="294" customFormat="1">
      <c r="A32" s="293"/>
      <c r="B32" s="293"/>
      <c r="C32" s="293"/>
      <c r="D32" s="293"/>
      <c r="E32" s="293"/>
      <c r="F32" s="293"/>
      <c r="G32" s="293"/>
      <c r="H32" s="293"/>
      <c r="I32" s="293"/>
      <c r="J32" s="293"/>
      <c r="K32" s="293"/>
      <c r="L32" s="293"/>
      <c r="M32" s="293"/>
      <c r="N32" s="293"/>
    </row>
    <row r="33" spans="1:14" s="294" customFormat="1">
      <c r="A33" s="293"/>
      <c r="B33" s="293"/>
      <c r="C33" s="293"/>
      <c r="D33" s="293"/>
      <c r="E33" s="293"/>
      <c r="F33" s="293"/>
      <c r="G33" s="293"/>
      <c r="H33" s="293"/>
      <c r="I33" s="293"/>
      <c r="J33" s="293"/>
      <c r="K33" s="293"/>
      <c r="L33" s="293"/>
      <c r="M33" s="293"/>
      <c r="N33" s="293"/>
    </row>
    <row r="34" spans="1:14" s="294" customFormat="1">
      <c r="A34" s="293"/>
      <c r="B34" s="293"/>
      <c r="C34" s="293"/>
      <c r="D34" s="293"/>
      <c r="E34" s="293"/>
      <c r="F34" s="293"/>
      <c r="G34" s="293"/>
      <c r="H34" s="293"/>
      <c r="I34" s="293"/>
      <c r="J34" s="293"/>
      <c r="K34" s="293"/>
      <c r="L34" s="293"/>
      <c r="M34" s="293"/>
      <c r="N34" s="293"/>
    </row>
    <row r="35" spans="1:14" s="294" customFormat="1">
      <c r="A35" s="293"/>
      <c r="B35" s="293"/>
      <c r="C35" s="293"/>
      <c r="D35" s="293"/>
      <c r="E35" s="293"/>
      <c r="F35" s="293"/>
      <c r="G35" s="293"/>
      <c r="H35" s="293"/>
      <c r="I35" s="293"/>
      <c r="J35" s="293"/>
      <c r="K35" s="293"/>
      <c r="L35" s="293"/>
      <c r="M35" s="293"/>
      <c r="N35" s="293"/>
    </row>
    <row r="36" spans="1:14" s="294" customFormat="1">
      <c r="A36" s="293"/>
      <c r="B36" s="293"/>
      <c r="C36" s="293"/>
      <c r="D36" s="293"/>
      <c r="E36" s="293"/>
      <c r="F36" s="293"/>
      <c r="G36" s="293"/>
      <c r="H36" s="293"/>
      <c r="I36" s="293"/>
      <c r="J36" s="293"/>
      <c r="K36" s="293"/>
      <c r="L36" s="293"/>
      <c r="M36" s="293"/>
      <c r="N36" s="293"/>
    </row>
    <row r="37" spans="1:14" s="294" customFormat="1">
      <c r="A37" s="293"/>
      <c r="B37" s="293"/>
      <c r="C37" s="293"/>
      <c r="D37" s="293"/>
      <c r="E37" s="293"/>
      <c r="F37" s="293"/>
      <c r="G37" s="293"/>
      <c r="H37" s="293"/>
      <c r="I37" s="293"/>
      <c r="J37" s="293"/>
      <c r="K37" s="293"/>
      <c r="L37" s="293"/>
      <c r="M37" s="293"/>
      <c r="N37" s="293"/>
    </row>
    <row r="38" spans="1:14" s="294" customFormat="1">
      <c r="A38" s="293"/>
      <c r="B38" s="293"/>
      <c r="C38" s="293"/>
      <c r="D38" s="293"/>
      <c r="E38" s="293"/>
      <c r="F38" s="293"/>
      <c r="G38" s="293"/>
      <c r="H38" s="293"/>
      <c r="I38" s="293"/>
      <c r="J38" s="293"/>
      <c r="K38" s="293"/>
      <c r="L38" s="293"/>
      <c r="M38" s="293"/>
      <c r="N38" s="293"/>
    </row>
    <row r="39" spans="1:14" s="294" customFormat="1">
      <c r="A39" s="293"/>
      <c r="B39" s="293"/>
      <c r="C39" s="293"/>
      <c r="D39" s="293"/>
      <c r="E39" s="293"/>
      <c r="F39" s="293"/>
      <c r="G39" s="293"/>
      <c r="H39" s="293"/>
      <c r="I39" s="293"/>
      <c r="J39" s="293"/>
      <c r="K39" s="293"/>
      <c r="L39" s="293"/>
      <c r="M39" s="293"/>
      <c r="N39" s="293"/>
    </row>
    <row r="40" spans="1:14" s="294" customFormat="1">
      <c r="A40" s="293"/>
      <c r="B40" s="293"/>
      <c r="C40" s="293"/>
      <c r="D40" s="293"/>
      <c r="E40" s="293"/>
      <c r="F40" s="293"/>
      <c r="G40" s="293"/>
      <c r="H40" s="293"/>
      <c r="I40" s="293"/>
      <c r="J40" s="293"/>
      <c r="K40" s="293"/>
      <c r="L40" s="293"/>
      <c r="M40" s="293"/>
      <c r="N40" s="293"/>
    </row>
    <row r="41" spans="1:14" s="294" customFormat="1">
      <c r="A41" s="293"/>
      <c r="B41" s="293"/>
      <c r="C41" s="293"/>
      <c r="D41" s="293"/>
      <c r="E41" s="293"/>
      <c r="F41" s="293"/>
      <c r="G41" s="293"/>
      <c r="H41" s="293"/>
      <c r="I41" s="293"/>
      <c r="J41" s="293"/>
      <c r="K41" s="293"/>
      <c r="L41" s="293"/>
      <c r="M41" s="293"/>
      <c r="N41" s="293"/>
    </row>
    <row r="42" spans="1:14" s="294" customFormat="1">
      <c r="A42" s="293"/>
      <c r="B42" s="293"/>
      <c r="C42" s="293"/>
      <c r="D42" s="293"/>
      <c r="E42" s="293"/>
      <c r="F42" s="293"/>
      <c r="G42" s="293"/>
      <c r="H42" s="293"/>
      <c r="I42" s="293"/>
      <c r="J42" s="293"/>
      <c r="K42" s="293"/>
      <c r="L42" s="293"/>
      <c r="M42" s="293"/>
      <c r="N42" s="293"/>
    </row>
    <row r="43" spans="1:14" s="294" customFormat="1">
      <c r="A43" s="293"/>
      <c r="B43" s="293"/>
      <c r="C43" s="293"/>
      <c r="D43" s="293"/>
      <c r="E43" s="293"/>
      <c r="F43" s="293"/>
      <c r="G43" s="293"/>
      <c r="H43" s="293"/>
      <c r="I43" s="293"/>
      <c r="J43" s="293"/>
      <c r="K43" s="293"/>
      <c r="L43" s="293"/>
      <c r="M43" s="293"/>
      <c r="N43" s="293"/>
    </row>
    <row r="44" spans="1:14" s="294" customFormat="1">
      <c r="A44" s="293"/>
      <c r="B44" s="293"/>
      <c r="C44" s="293"/>
      <c r="D44" s="293"/>
      <c r="E44" s="293"/>
      <c r="F44" s="293"/>
      <c r="G44" s="293"/>
      <c r="H44" s="293"/>
      <c r="I44" s="293"/>
      <c r="J44" s="293"/>
      <c r="K44" s="293"/>
      <c r="L44" s="293"/>
      <c r="M44" s="293"/>
      <c r="N44" s="293"/>
    </row>
    <row r="45" spans="1:14" s="294" customFormat="1">
      <c r="A45" s="293"/>
      <c r="B45" s="293"/>
      <c r="C45" s="293"/>
      <c r="D45" s="293"/>
      <c r="E45" s="293"/>
      <c r="F45" s="293"/>
      <c r="G45" s="293"/>
      <c r="H45" s="293"/>
      <c r="I45" s="293"/>
      <c r="J45" s="293"/>
      <c r="K45" s="293"/>
      <c r="L45" s="293"/>
      <c r="M45" s="293"/>
      <c r="N45" s="293"/>
    </row>
    <row r="46" spans="1:14" s="294" customFormat="1">
      <c r="A46" s="293"/>
      <c r="B46" s="293"/>
      <c r="C46" s="293"/>
      <c r="D46" s="293"/>
      <c r="E46" s="293"/>
      <c r="F46" s="293"/>
      <c r="G46" s="293"/>
      <c r="H46" s="293"/>
      <c r="I46" s="293"/>
      <c r="J46" s="293"/>
      <c r="K46" s="293"/>
      <c r="L46" s="293"/>
      <c r="M46" s="293"/>
      <c r="N46" s="293"/>
    </row>
    <row r="47" spans="1:14" s="294" customFormat="1">
      <c r="A47" s="293"/>
      <c r="B47" s="293"/>
      <c r="C47" s="293"/>
      <c r="D47" s="293"/>
      <c r="E47" s="293"/>
      <c r="F47" s="293"/>
      <c r="G47" s="293"/>
      <c r="H47" s="293"/>
      <c r="I47" s="293"/>
      <c r="J47" s="293"/>
      <c r="K47" s="293"/>
      <c r="L47" s="293"/>
      <c r="M47" s="293"/>
      <c r="N47" s="293"/>
    </row>
    <row r="48" spans="1:14" s="294" customFormat="1">
      <c r="A48" s="293"/>
      <c r="B48" s="293"/>
      <c r="C48" s="293"/>
      <c r="D48" s="293"/>
      <c r="E48" s="293"/>
      <c r="F48" s="293"/>
      <c r="G48" s="293"/>
      <c r="H48" s="293"/>
      <c r="I48" s="293"/>
      <c r="J48" s="293"/>
      <c r="K48" s="293"/>
      <c r="L48" s="293"/>
      <c r="M48" s="293"/>
      <c r="N48" s="293"/>
    </row>
    <row r="49" spans="1:14" s="294" customFormat="1">
      <c r="A49" s="293"/>
      <c r="B49" s="293"/>
      <c r="C49" s="293"/>
      <c r="D49" s="293"/>
      <c r="E49" s="293"/>
      <c r="F49" s="293"/>
      <c r="G49" s="293"/>
      <c r="H49" s="293"/>
      <c r="I49" s="293"/>
      <c r="J49" s="293"/>
      <c r="K49" s="293"/>
      <c r="L49" s="293"/>
      <c r="M49" s="293"/>
      <c r="N49" s="293"/>
    </row>
    <row r="50" spans="1:14" s="294" customFormat="1">
      <c r="A50" s="293"/>
      <c r="B50" s="293"/>
      <c r="C50" s="293"/>
      <c r="D50" s="293"/>
      <c r="E50" s="293"/>
      <c r="F50" s="293"/>
      <c r="G50" s="293"/>
      <c r="H50" s="293"/>
      <c r="I50" s="293"/>
      <c r="J50" s="293"/>
      <c r="K50" s="293"/>
      <c r="L50" s="293"/>
      <c r="M50" s="293"/>
      <c r="N50" s="293"/>
    </row>
    <row r="51" spans="1:14" s="294" customFormat="1">
      <c r="A51" s="293"/>
      <c r="B51" s="293"/>
      <c r="C51" s="293"/>
      <c r="D51" s="293"/>
      <c r="E51" s="293"/>
      <c r="F51" s="293"/>
      <c r="G51" s="293"/>
      <c r="H51" s="293"/>
      <c r="I51" s="293"/>
      <c r="J51" s="293"/>
      <c r="K51" s="293"/>
      <c r="L51" s="293"/>
      <c r="M51" s="293"/>
      <c r="N51" s="293"/>
    </row>
    <row r="52" spans="1:14" s="294" customFormat="1">
      <c r="A52" s="293"/>
      <c r="B52" s="293"/>
      <c r="C52" s="293"/>
      <c r="D52" s="293"/>
      <c r="E52" s="293"/>
      <c r="F52" s="293"/>
      <c r="G52" s="293"/>
      <c r="H52" s="293"/>
      <c r="I52" s="293"/>
      <c r="J52" s="293"/>
      <c r="K52" s="293"/>
      <c r="L52" s="293"/>
      <c r="M52" s="293"/>
      <c r="N52" s="293"/>
    </row>
    <row r="53" spans="1:14" s="294" customFormat="1">
      <c r="A53" s="293"/>
      <c r="B53" s="293"/>
      <c r="C53" s="293"/>
      <c r="D53" s="293"/>
      <c r="E53" s="293"/>
      <c r="F53" s="293"/>
      <c r="G53" s="293"/>
      <c r="H53" s="293"/>
      <c r="I53" s="293"/>
      <c r="J53" s="293"/>
      <c r="K53" s="293"/>
      <c r="L53" s="293"/>
      <c r="M53" s="293"/>
      <c r="N53" s="293"/>
    </row>
    <row r="54" spans="1:14" s="294" customFormat="1">
      <c r="A54" s="293"/>
      <c r="B54" s="293"/>
      <c r="C54" s="293"/>
      <c r="D54" s="293"/>
      <c r="E54" s="293"/>
      <c r="F54" s="293"/>
      <c r="G54" s="293"/>
      <c r="H54" s="293"/>
      <c r="I54" s="293"/>
      <c r="J54" s="293"/>
      <c r="K54" s="293"/>
      <c r="L54" s="293"/>
      <c r="M54" s="293"/>
      <c r="N54" s="293"/>
    </row>
    <row r="55" spans="1:14" s="294" customFormat="1">
      <c r="A55" s="293"/>
      <c r="B55" s="293"/>
      <c r="C55" s="293"/>
      <c r="D55" s="293"/>
      <c r="E55" s="293"/>
      <c r="F55" s="293"/>
      <c r="G55" s="293"/>
      <c r="H55" s="293"/>
      <c r="I55" s="293"/>
      <c r="J55" s="293"/>
      <c r="K55" s="293"/>
      <c r="L55" s="293"/>
      <c r="M55" s="293"/>
      <c r="N55" s="293"/>
    </row>
    <row r="56" spans="1:14" s="294" customFormat="1">
      <c r="A56" s="293"/>
      <c r="B56" s="293"/>
      <c r="C56" s="293"/>
      <c r="D56" s="293"/>
      <c r="E56" s="293"/>
      <c r="F56" s="293"/>
      <c r="G56" s="293"/>
      <c r="H56" s="293"/>
      <c r="I56" s="293"/>
      <c r="J56" s="293"/>
      <c r="K56" s="293"/>
      <c r="L56" s="293"/>
      <c r="M56" s="293"/>
      <c r="N56" s="293"/>
    </row>
  </sheetData>
  <mergeCells count="1">
    <mergeCell ref="A4:E4"/>
  </mergeCells>
  <hyperlinks>
    <hyperlink ref="E1" location="Indice!A1" display="Indice" xr:uid="{00000000-0004-0000-2E00-000000000000}"/>
  </hyperlinks>
  <pageMargins left="0.25" right="0.25" top="0.75" bottom="0.75" header="0.3" footer="0.3"/>
  <pageSetup scale="81" fitToHeight="0"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5" tint="-0.499984740745262"/>
    <pageSetUpPr fitToPage="1"/>
  </sheetPr>
  <dimension ref="A1:N13"/>
  <sheetViews>
    <sheetView workbookViewId="0">
      <selection activeCell="A7" sqref="A7"/>
    </sheetView>
  </sheetViews>
  <sheetFormatPr baseColWidth="10" defaultRowHeight="15"/>
  <cols>
    <col min="1" max="5" width="24.28515625" style="133" customWidth="1"/>
    <col min="6" max="6" width="12.85546875" style="133" customWidth="1"/>
    <col min="7" max="7" width="11.5703125" style="133" customWidth="1"/>
    <col min="8" max="8" width="17.28515625" style="133" customWidth="1"/>
    <col min="9" max="14" width="11.5703125" style="133" customWidth="1"/>
  </cols>
  <sheetData>
    <row r="1" spans="1:14">
      <c r="E1" s="153" t="s">
        <v>113</v>
      </c>
    </row>
    <row r="2" spans="1:14">
      <c r="C2" s="136"/>
    </row>
    <row r="4" spans="1:14">
      <c r="A4" s="141" t="s">
        <v>462</v>
      </c>
      <c r="B4" s="141"/>
      <c r="C4" s="141"/>
      <c r="D4" s="141"/>
      <c r="E4" s="141"/>
      <c r="F4" s="141"/>
      <c r="G4" s="141"/>
      <c r="H4" s="141"/>
      <c r="I4" s="326"/>
    </row>
    <row r="5" spans="1:14">
      <c r="A5" s="831" t="s">
        <v>463</v>
      </c>
      <c r="B5" s="831"/>
      <c r="C5" s="831"/>
      <c r="D5" s="831"/>
      <c r="E5" s="831"/>
      <c r="F5" s="831"/>
      <c r="G5" s="831"/>
      <c r="H5" s="831"/>
      <c r="I5" s="831"/>
    </row>
    <row r="6" spans="1:14" s="294" customFormat="1" ht="15" customHeight="1">
      <c r="A6" s="840" t="s">
        <v>2488</v>
      </c>
      <c r="B6" s="840"/>
      <c r="C6" s="840"/>
      <c r="D6" s="840"/>
      <c r="E6" s="840"/>
      <c r="F6" s="840"/>
      <c r="G6" s="840"/>
      <c r="H6" s="840"/>
      <c r="I6" s="840"/>
      <c r="J6" s="293"/>
      <c r="K6" s="293"/>
      <c r="L6" s="293"/>
      <c r="M6" s="293"/>
      <c r="N6" s="293"/>
    </row>
    <row r="7" spans="1:14" s="294" customFormat="1">
      <c r="A7" s="293" t="s">
        <v>464</v>
      </c>
      <c r="B7" s="293"/>
      <c r="C7" s="293"/>
      <c r="D7" s="293"/>
      <c r="E7" s="293"/>
      <c r="F7" s="293"/>
      <c r="G7" s="293"/>
      <c r="H7" s="293"/>
      <c r="I7" s="293"/>
      <c r="J7" s="293"/>
      <c r="K7" s="293"/>
      <c r="L7" s="293"/>
      <c r="M7" s="293"/>
      <c r="N7" s="293"/>
    </row>
    <row r="8" spans="1:14" s="293" customFormat="1">
      <c r="A8" s="293" t="s">
        <v>465</v>
      </c>
    </row>
    <row r="9" spans="1:14" s="294" customFormat="1">
      <c r="A9" s="293"/>
      <c r="B9" s="293"/>
      <c r="C9" s="293"/>
      <c r="D9" s="293"/>
      <c r="E9" s="293"/>
      <c r="F9" s="293"/>
      <c r="G9" s="293"/>
      <c r="H9" s="293"/>
      <c r="I9" s="293"/>
      <c r="J9" s="293"/>
      <c r="K9" s="293"/>
      <c r="L9" s="293"/>
      <c r="M9" s="293"/>
      <c r="N9" s="293"/>
    </row>
    <row r="10" spans="1:14" s="294" customFormat="1">
      <c r="A10" s="841" t="s">
        <v>2487</v>
      </c>
      <c r="B10" s="841"/>
      <c r="C10" s="841"/>
      <c r="D10" s="841"/>
      <c r="E10" s="841"/>
      <c r="F10" s="841"/>
      <c r="G10" s="841"/>
      <c r="H10" s="841"/>
      <c r="I10" s="293"/>
      <c r="J10" s="293"/>
      <c r="K10" s="293"/>
      <c r="L10" s="293"/>
      <c r="M10" s="293"/>
      <c r="N10" s="293"/>
    </row>
    <row r="11" spans="1:14" s="294" customFormat="1" ht="16.5" customHeight="1">
      <c r="A11" s="841"/>
      <c r="B11" s="841"/>
      <c r="C11" s="841"/>
      <c r="D11" s="841"/>
      <c r="E11" s="841"/>
      <c r="F11" s="841"/>
      <c r="G11" s="841"/>
      <c r="H11" s="841"/>
      <c r="I11" s="330"/>
      <c r="J11" s="293"/>
      <c r="K11" s="293"/>
      <c r="L11" s="293"/>
      <c r="M11" s="293"/>
      <c r="N11" s="293"/>
    </row>
    <row r="12" spans="1:14" s="294" customFormat="1" ht="14.45" customHeight="1">
      <c r="A12" s="841"/>
      <c r="B12" s="841"/>
      <c r="C12" s="841"/>
      <c r="D12" s="841"/>
      <c r="E12" s="841"/>
      <c r="F12" s="841"/>
      <c r="G12" s="841"/>
      <c r="H12" s="841"/>
      <c r="I12" s="293"/>
      <c r="J12" s="293"/>
      <c r="K12" s="293"/>
      <c r="L12" s="293"/>
      <c r="M12" s="293"/>
      <c r="N12" s="293"/>
    </row>
    <row r="13" spans="1:14" s="294" customFormat="1">
      <c r="A13" s="841"/>
      <c r="B13" s="841"/>
      <c r="C13" s="841"/>
      <c r="D13" s="841"/>
      <c r="E13" s="841"/>
      <c r="F13" s="841"/>
      <c r="G13" s="841"/>
      <c r="H13" s="841"/>
      <c r="I13" s="293"/>
      <c r="J13" s="293"/>
      <c r="K13" s="293"/>
      <c r="L13" s="293"/>
      <c r="M13" s="293"/>
      <c r="N13" s="293"/>
    </row>
  </sheetData>
  <mergeCells count="4">
    <mergeCell ref="A5:I5"/>
    <mergeCell ref="A6:I6"/>
    <mergeCell ref="A10:H11"/>
    <mergeCell ref="A12:H13"/>
  </mergeCells>
  <hyperlinks>
    <hyperlink ref="E1" location="Indice!A1" display="Indice" xr:uid="{00000000-0004-0000-2F00-000000000000}"/>
  </hyperlinks>
  <pageMargins left="0.25" right="0.25" top="0.75" bottom="0.75" header="0.3" footer="0.3"/>
  <pageSetup scale="58" fitToHeight="0"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5" tint="-0.499984740745262"/>
    <pageSetUpPr fitToPage="1"/>
  </sheetPr>
  <dimension ref="A1:AY25"/>
  <sheetViews>
    <sheetView topLeftCell="A13" workbookViewId="0">
      <selection activeCell="A7" sqref="A7:G7"/>
    </sheetView>
  </sheetViews>
  <sheetFormatPr baseColWidth="10" defaultRowHeight="15"/>
  <cols>
    <col min="1" max="1" width="47.85546875" style="133" customWidth="1"/>
    <col min="2" max="2" width="22.7109375" style="133" customWidth="1"/>
    <col min="3" max="3" width="26.140625" style="133" customWidth="1"/>
    <col min="4" max="51" width="11.5703125" style="133" customWidth="1"/>
  </cols>
  <sheetData>
    <row r="1" spans="1:11">
      <c r="D1" s="153" t="s">
        <v>466</v>
      </c>
    </row>
    <row r="4" spans="1:11">
      <c r="A4" s="842" t="s">
        <v>467</v>
      </c>
      <c r="B4" s="842"/>
      <c r="C4" s="842"/>
      <c r="D4" s="842"/>
      <c r="E4" s="842"/>
      <c r="F4" s="842"/>
      <c r="G4" s="842"/>
    </row>
    <row r="5" spans="1:11">
      <c r="A5" s="331" t="s">
        <v>2084</v>
      </c>
    </row>
    <row r="6" spans="1:11" ht="50.45" customHeight="1">
      <c r="A6" s="843" t="s">
        <v>2489</v>
      </c>
      <c r="B6" s="843"/>
      <c r="C6" s="843"/>
      <c r="D6" s="843"/>
      <c r="E6" s="843"/>
      <c r="F6" s="843"/>
      <c r="G6" s="843"/>
      <c r="H6" s="332"/>
      <c r="I6" s="332"/>
      <c r="J6" s="332"/>
      <c r="K6" s="332"/>
    </row>
    <row r="7" spans="1:11" ht="43.9" customHeight="1">
      <c r="A7" s="844" t="s">
        <v>468</v>
      </c>
      <c r="B7" s="844"/>
      <c r="C7" s="844"/>
      <c r="D7" s="844"/>
      <c r="E7" s="844"/>
      <c r="F7" s="844"/>
      <c r="G7" s="844"/>
      <c r="H7" s="332"/>
      <c r="I7" s="332"/>
      <c r="J7" s="332"/>
      <c r="K7" s="332"/>
    </row>
    <row r="8" spans="1:11" ht="15.75">
      <c r="A8" s="333"/>
    </row>
    <row r="9" spans="1:11" s="133" customFormat="1" ht="15.75">
      <c r="A9" s="845" t="s">
        <v>469</v>
      </c>
      <c r="B9" s="845"/>
      <c r="C9" s="845"/>
      <c r="D9" s="845"/>
      <c r="E9" s="845"/>
      <c r="F9" s="845"/>
      <c r="G9" s="845"/>
      <c r="H9" s="334"/>
      <c r="I9" s="334"/>
      <c r="J9" s="334"/>
      <c r="K9" s="334"/>
    </row>
    <row r="11" spans="1:11" ht="15.75">
      <c r="A11" s="335"/>
      <c r="B11" s="211">
        <f>+'Nota 35'!B7</f>
        <v>2024</v>
      </c>
      <c r="C11" s="211">
        <f>+'Nota 35'!C7</f>
        <v>2023</v>
      </c>
    </row>
    <row r="12" spans="1:11" ht="15.75">
      <c r="A12" s="335" t="s">
        <v>470</v>
      </c>
      <c r="B12" s="336"/>
      <c r="C12" s="336"/>
    </row>
    <row r="13" spans="1:11" ht="15.75">
      <c r="A13" s="335" t="s">
        <v>471</v>
      </c>
      <c r="B13" s="336"/>
      <c r="C13" s="336"/>
    </row>
    <row r="14" spans="1:11" ht="15.75">
      <c r="A14" s="335" t="s">
        <v>329</v>
      </c>
      <c r="B14" s="336"/>
      <c r="C14" s="336"/>
    </row>
    <row r="15" spans="1:11" ht="15.75">
      <c r="A15" s="335" t="s">
        <v>472</v>
      </c>
      <c r="B15" s="336"/>
      <c r="C15" s="336"/>
    </row>
    <row r="16" spans="1:11" ht="15.75">
      <c r="A16" s="335" t="s">
        <v>473</v>
      </c>
      <c r="B16" s="337"/>
      <c r="C16" s="336"/>
    </row>
    <row r="17" spans="1:3" ht="15.75">
      <c r="A17" s="335" t="s">
        <v>36</v>
      </c>
      <c r="B17" s="337"/>
      <c r="C17" s="336"/>
    </row>
    <row r="18" spans="1:3" ht="15.75">
      <c r="A18" s="335" t="s">
        <v>474</v>
      </c>
      <c r="B18" s="337"/>
      <c r="C18" s="336"/>
    </row>
    <row r="19" spans="1:3" ht="15.75">
      <c r="A19" s="335" t="s">
        <v>475</v>
      </c>
      <c r="B19" s="337"/>
      <c r="C19" s="336"/>
    </row>
    <row r="20" spans="1:3" ht="15.75">
      <c r="A20" s="335" t="s">
        <v>476</v>
      </c>
      <c r="B20" s="337"/>
      <c r="C20" s="336"/>
    </row>
    <row r="21" spans="1:3" ht="15.75">
      <c r="A21" s="335" t="s">
        <v>477</v>
      </c>
      <c r="B21" s="337"/>
      <c r="C21" s="336"/>
    </row>
    <row r="22" spans="1:3" ht="15.75">
      <c r="A22" s="335" t="s">
        <v>478</v>
      </c>
      <c r="B22" s="337"/>
      <c r="C22" s="336"/>
    </row>
    <row r="23" spans="1:3" ht="31.5">
      <c r="A23" s="335" t="s">
        <v>479</v>
      </c>
      <c r="B23" s="337"/>
      <c r="C23" s="336"/>
    </row>
    <row r="24" spans="1:3" ht="15.75">
      <c r="A24" s="335" t="s">
        <v>480</v>
      </c>
      <c r="B24" s="337"/>
      <c r="C24" s="336"/>
    </row>
    <row r="25" spans="1:3" ht="15.75">
      <c r="A25" s="338" t="s">
        <v>161</v>
      </c>
      <c r="B25" s="339"/>
      <c r="C25" s="340"/>
    </row>
  </sheetData>
  <mergeCells count="4">
    <mergeCell ref="A4:G4"/>
    <mergeCell ref="A6:G6"/>
    <mergeCell ref="A7:G7"/>
    <mergeCell ref="A9:G9"/>
  </mergeCells>
  <hyperlinks>
    <hyperlink ref="D1" location="Indice!A1" display="Índice" xr:uid="{00000000-0004-0000-3000-000000000000}"/>
  </hyperlinks>
  <pageMargins left="0.25" right="0.25"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U42"/>
  <sheetViews>
    <sheetView showGridLines="0" zoomScale="70" zoomScaleNormal="70" workbookViewId="0">
      <pane ySplit="13" topLeftCell="A14" activePane="bottomLeft" state="frozen"/>
      <selection pane="bottomLeft" activeCell="P33" sqref="P33"/>
    </sheetView>
  </sheetViews>
  <sheetFormatPr baseColWidth="10" defaultColWidth="11.28515625" defaultRowHeight="12.75"/>
  <cols>
    <col min="1" max="1" width="40.7109375" style="1" customWidth="1"/>
    <col min="2" max="2" width="0.85546875" style="1" customWidth="1"/>
    <col min="3" max="3" width="19.7109375" style="96" customWidth="1"/>
    <col min="4" max="4" width="2.7109375" style="96" hidden="1" customWidth="1"/>
    <col min="5" max="5" width="1" style="97" customWidth="1"/>
    <col min="6" max="6" width="18.140625" style="96" customWidth="1"/>
    <col min="7" max="7" width="0.85546875" style="97" customWidth="1"/>
    <col min="8" max="8" width="18.85546875" style="96" customWidth="1"/>
    <col min="9" max="9" width="1" style="97" customWidth="1"/>
    <col min="10" max="10" width="20" style="96" customWidth="1"/>
    <col min="11" max="11" width="0.7109375" style="97" customWidth="1"/>
    <col min="12" max="12" width="18.28515625" style="96" customWidth="1"/>
    <col min="13" max="13" width="0.7109375" style="97" customWidth="1"/>
    <col min="14" max="14" width="20.28515625" style="96" customWidth="1"/>
    <col min="15" max="15" width="1.140625" style="97" customWidth="1"/>
    <col min="16" max="16" width="19.7109375" style="96" customWidth="1"/>
    <col min="17" max="17" width="1.140625" style="99" customWidth="1"/>
    <col min="18" max="18" width="17.28515625" style="1" bestFit="1" customWidth="1"/>
    <col min="19" max="19" width="1.140625" style="1" customWidth="1"/>
    <col min="20" max="20" width="21.5703125" style="1" customWidth="1"/>
    <col min="21" max="21" width="19" style="1" bestFit="1" customWidth="1"/>
    <col min="22" max="16384" width="11.28515625" style="1"/>
  </cols>
  <sheetData>
    <row r="1" spans="1:21" ht="15">
      <c r="A1" s="2"/>
      <c r="H1" s="98" t="s">
        <v>113</v>
      </c>
    </row>
    <row r="3" spans="1:21" ht="15">
      <c r="N3" s="100"/>
      <c r="R3" s="49"/>
    </row>
    <row r="4" spans="1:21" ht="15">
      <c r="B4" s="100"/>
      <c r="C4" s="100"/>
      <c r="D4" s="100"/>
      <c r="E4" s="100"/>
      <c r="F4" s="100" t="s">
        <v>151</v>
      </c>
      <c r="G4" s="100"/>
      <c r="H4" s="100"/>
      <c r="I4" s="100"/>
      <c r="J4" s="100"/>
      <c r="K4" s="100"/>
      <c r="L4" s="100"/>
      <c r="M4" s="100"/>
      <c r="N4" s="100"/>
      <c r="O4" s="100"/>
      <c r="P4" s="100"/>
      <c r="R4" s="49"/>
    </row>
    <row r="5" spans="1:21" ht="15">
      <c r="A5" s="100"/>
      <c r="B5" s="100"/>
      <c r="C5" s="100"/>
      <c r="D5" s="100"/>
      <c r="E5" s="100"/>
      <c r="F5" s="100"/>
      <c r="G5" s="100"/>
      <c r="H5" s="100" t="str">
        <f>+EFE!A6</f>
        <v>AL 31 DE MARZO DEL 2024</v>
      </c>
      <c r="I5" s="100"/>
      <c r="J5" s="100"/>
      <c r="K5" s="100"/>
      <c r="L5" s="100"/>
      <c r="M5" s="100"/>
      <c r="N5" s="100"/>
      <c r="O5" s="100"/>
      <c r="P5" s="100"/>
      <c r="R5" s="49"/>
    </row>
    <row r="6" spans="1:21" ht="14.25">
      <c r="A6" s="723" t="s">
        <v>152</v>
      </c>
      <c r="B6" s="723"/>
      <c r="C6" s="723"/>
      <c r="D6" s="723"/>
      <c r="E6" s="723"/>
      <c r="F6" s="723"/>
      <c r="G6" s="723"/>
      <c r="H6" s="723"/>
      <c r="I6" s="723"/>
      <c r="J6" s="723"/>
      <c r="K6" s="723"/>
      <c r="L6" s="723"/>
      <c r="M6" s="723"/>
      <c r="N6" s="723"/>
      <c r="O6" s="723"/>
      <c r="P6" s="723"/>
      <c r="R6" s="49"/>
    </row>
    <row r="7" spans="1:21" ht="14.25">
      <c r="A7" s="723" t="str">
        <f>+EFE!A8</f>
        <v>(En guaraníes)</v>
      </c>
      <c r="B7" s="723"/>
      <c r="C7" s="723"/>
      <c r="D7" s="723"/>
      <c r="E7" s="723"/>
      <c r="F7" s="723"/>
      <c r="G7" s="723"/>
      <c r="H7" s="723"/>
      <c r="I7" s="723"/>
      <c r="J7" s="723"/>
      <c r="K7" s="723"/>
      <c r="L7" s="723"/>
      <c r="M7" s="723"/>
      <c r="N7" s="723"/>
      <c r="O7" s="723"/>
      <c r="P7" s="723"/>
      <c r="R7" s="49"/>
    </row>
    <row r="8" spans="1:21" ht="14.25">
      <c r="A8" s="101"/>
      <c r="B8" s="101"/>
      <c r="C8" s="101"/>
      <c r="D8" s="101"/>
      <c r="E8" s="101"/>
      <c r="F8" s="101"/>
      <c r="G8" s="101"/>
      <c r="H8" s="101"/>
      <c r="I8" s="101"/>
      <c r="J8" s="101"/>
      <c r="K8" s="101"/>
      <c r="L8" s="101"/>
      <c r="M8" s="101"/>
      <c r="N8" s="101"/>
      <c r="O8" s="101"/>
      <c r="P8" s="101"/>
      <c r="R8" s="49"/>
    </row>
    <row r="9" spans="1:21" ht="14.25">
      <c r="A9" s="101"/>
      <c r="B9" s="101"/>
      <c r="C9" s="101"/>
      <c r="D9" s="101"/>
      <c r="E9" s="101"/>
      <c r="F9" s="101"/>
      <c r="G9" s="101"/>
      <c r="H9" s="101"/>
      <c r="I9" s="101"/>
      <c r="J9" s="101"/>
      <c r="K9" s="101"/>
      <c r="L9" s="101"/>
      <c r="M9" s="101"/>
      <c r="N9" s="101"/>
      <c r="O9" s="101"/>
      <c r="P9" s="101"/>
      <c r="R9" s="49"/>
    </row>
    <row r="10" spans="1:21" s="481" customFormat="1" ht="13.15" customHeight="1">
      <c r="A10" s="478"/>
      <c r="B10" s="478"/>
      <c r="C10" s="724" t="s">
        <v>153</v>
      </c>
      <c r="D10" s="724"/>
      <c r="E10" s="724"/>
      <c r="F10" s="724"/>
      <c r="G10" s="478"/>
      <c r="H10" s="478"/>
      <c r="I10" s="478"/>
      <c r="J10" s="478"/>
      <c r="K10" s="478"/>
      <c r="L10" s="724" t="s">
        <v>154</v>
      </c>
      <c r="M10" s="724"/>
      <c r="N10" s="724"/>
      <c r="O10" s="724"/>
      <c r="P10" s="724"/>
      <c r="Q10" s="479"/>
      <c r="R10" s="480"/>
    </row>
    <row r="11" spans="1:21" s="481" customFormat="1" ht="13.15" customHeight="1">
      <c r="A11" s="725"/>
      <c r="C11" s="721" t="s">
        <v>155</v>
      </c>
      <c r="D11" s="482" t="s">
        <v>156</v>
      </c>
      <c r="E11" s="483"/>
      <c r="F11" s="721" t="s">
        <v>157</v>
      </c>
      <c r="G11" s="483"/>
      <c r="H11" s="721" t="s">
        <v>58</v>
      </c>
      <c r="I11" s="483"/>
      <c r="J11" s="721" t="s">
        <v>158</v>
      </c>
      <c r="K11" s="483"/>
      <c r="L11" s="721" t="s">
        <v>60</v>
      </c>
      <c r="M11" s="483"/>
      <c r="N11" s="721" t="s">
        <v>159</v>
      </c>
      <c r="O11" s="483"/>
      <c r="P11" s="721" t="s">
        <v>65</v>
      </c>
      <c r="Q11" s="479"/>
      <c r="R11" s="721" t="s">
        <v>160</v>
      </c>
      <c r="S11" s="483"/>
      <c r="T11" s="721" t="s">
        <v>161</v>
      </c>
    </row>
    <row r="12" spans="1:21" s="481" customFormat="1" ht="38.25" customHeight="1">
      <c r="A12" s="725"/>
      <c r="C12" s="722"/>
      <c r="D12" s="482" t="s">
        <v>162</v>
      </c>
      <c r="E12" s="483"/>
      <c r="F12" s="722"/>
      <c r="G12" s="483"/>
      <c r="H12" s="722"/>
      <c r="I12" s="483"/>
      <c r="J12" s="722"/>
      <c r="K12" s="483"/>
      <c r="L12" s="722"/>
      <c r="M12" s="483"/>
      <c r="N12" s="722"/>
      <c r="O12" s="483"/>
      <c r="P12" s="722" t="s">
        <v>161</v>
      </c>
      <c r="Q12" s="479"/>
      <c r="R12" s="722"/>
      <c r="S12" s="483"/>
      <c r="T12" s="722"/>
    </row>
    <row r="13" spans="1:21">
      <c r="R13" s="49"/>
    </row>
    <row r="14" spans="1:21" s="463" customFormat="1" ht="27.6" customHeight="1">
      <c r="A14" s="484" t="s">
        <v>2546</v>
      </c>
      <c r="B14" s="66"/>
      <c r="C14" s="485">
        <f>+'3 años'!H47</f>
        <v>15000000000</v>
      </c>
      <c r="D14" s="461"/>
      <c r="E14" s="462"/>
      <c r="F14" s="485">
        <v>0</v>
      </c>
      <c r="G14" s="462"/>
      <c r="H14" s="485">
        <f>+'3 años'!H48</f>
        <v>1815870408</v>
      </c>
      <c r="I14" s="462"/>
      <c r="J14" s="485">
        <f>+'3 años'!H50</f>
        <v>1252221963</v>
      </c>
      <c r="K14" s="462"/>
      <c r="L14" s="485">
        <f>+'3 años'!H49</f>
        <v>1143468513</v>
      </c>
      <c r="M14" s="462"/>
      <c r="N14" s="485">
        <f>+'3 años'!H51</f>
        <v>562605594</v>
      </c>
      <c r="O14" s="462"/>
      <c r="P14" s="485">
        <f>+'3 años'!H53</f>
        <v>3514722888</v>
      </c>
      <c r="Q14" s="461"/>
      <c r="R14" s="485">
        <v>0</v>
      </c>
      <c r="S14" s="461"/>
      <c r="T14" s="485">
        <f>SUM(C14:R14)</f>
        <v>23288889366</v>
      </c>
      <c r="U14" s="461">
        <f>+T14-'3 años'!H56</f>
        <v>0</v>
      </c>
    </row>
    <row r="15" spans="1:21" s="62" customFormat="1" ht="27.6" customHeight="1">
      <c r="A15" s="62" t="s">
        <v>910</v>
      </c>
      <c r="C15" s="464"/>
      <c r="D15" s="464"/>
      <c r="E15" s="465"/>
      <c r="F15" s="464"/>
      <c r="G15" s="465"/>
      <c r="H15" s="464"/>
      <c r="I15" s="465"/>
      <c r="J15" s="464"/>
      <c r="K15" s="465"/>
      <c r="L15" s="464"/>
      <c r="M15" s="465"/>
      <c r="N15" s="464"/>
      <c r="O15" s="465"/>
      <c r="P15" s="464"/>
      <c r="Q15" s="466"/>
      <c r="R15" s="464"/>
      <c r="S15" s="466"/>
      <c r="T15" s="464"/>
      <c r="U15" s="466"/>
    </row>
    <row r="16" spans="1:21" s="463" customFormat="1" ht="27.6" customHeight="1">
      <c r="A16" s="484" t="s">
        <v>163</v>
      </c>
      <c r="C16" s="485">
        <f>C14</f>
        <v>15000000000</v>
      </c>
      <c r="D16" s="461"/>
      <c r="E16" s="462"/>
      <c r="F16" s="485">
        <f>F14</f>
        <v>0</v>
      </c>
      <c r="G16" s="462"/>
      <c r="H16" s="485">
        <f>H14</f>
        <v>1815870408</v>
      </c>
      <c r="I16" s="462"/>
      <c r="J16" s="485">
        <f>J14</f>
        <v>1252221963</v>
      </c>
      <c r="K16" s="462"/>
      <c r="L16" s="485">
        <f>L14</f>
        <v>1143468513</v>
      </c>
      <c r="M16" s="462"/>
      <c r="N16" s="485">
        <f>N14</f>
        <v>562605594</v>
      </c>
      <c r="O16" s="462"/>
      <c r="P16" s="485">
        <f>P14</f>
        <v>3514722888</v>
      </c>
      <c r="Q16" s="461"/>
      <c r="R16" s="485">
        <f>R14</f>
        <v>0</v>
      </c>
      <c r="S16" s="461"/>
      <c r="T16" s="485">
        <f>T14</f>
        <v>23288889366</v>
      </c>
      <c r="U16" s="461"/>
    </row>
    <row r="17" spans="1:21" s="62" customFormat="1" ht="27.6" customHeight="1">
      <c r="A17" s="467" t="s">
        <v>911</v>
      </c>
      <c r="C17" s="464"/>
      <c r="D17" s="464"/>
      <c r="E17" s="465"/>
      <c r="F17" s="464"/>
      <c r="G17" s="465"/>
      <c r="H17" s="464"/>
      <c r="I17" s="465"/>
      <c r="J17" s="464"/>
      <c r="K17" s="465"/>
      <c r="L17" s="464"/>
      <c r="M17" s="465"/>
      <c r="N17" s="468"/>
      <c r="O17" s="465"/>
      <c r="P17" s="464"/>
      <c r="Q17" s="466"/>
      <c r="R17" s="59"/>
    </row>
    <row r="18" spans="1:21" s="463" customFormat="1" ht="27.6" customHeight="1">
      <c r="A18" s="484" t="s">
        <v>164</v>
      </c>
      <c r="C18" s="485"/>
      <c r="D18" s="461"/>
      <c r="E18" s="462"/>
      <c r="F18" s="485"/>
      <c r="G18" s="462"/>
      <c r="H18" s="485"/>
      <c r="I18" s="462"/>
      <c r="J18" s="485"/>
      <c r="K18" s="462"/>
      <c r="L18" s="485"/>
      <c r="M18" s="462"/>
      <c r="N18" s="485"/>
      <c r="O18" s="462"/>
      <c r="P18" s="485"/>
      <c r="Q18" s="461"/>
      <c r="R18" s="485"/>
      <c r="S18" s="461"/>
      <c r="T18" s="485"/>
    </row>
    <row r="19" spans="1:21" s="62" customFormat="1" ht="27.6" customHeight="1">
      <c r="A19" s="467" t="s">
        <v>165</v>
      </c>
      <c r="C19" s="464"/>
      <c r="D19" s="464"/>
      <c r="E19" s="465"/>
      <c r="F19" s="464"/>
      <c r="G19" s="465"/>
      <c r="H19" s="464"/>
      <c r="I19" s="465"/>
      <c r="J19" s="464"/>
      <c r="K19" s="465"/>
      <c r="L19" s="468"/>
      <c r="M19" s="465"/>
      <c r="N19" s="464"/>
      <c r="O19" s="465"/>
      <c r="P19" s="468"/>
      <c r="Q19" s="469"/>
      <c r="R19" s="59"/>
    </row>
    <row r="20" spans="1:21" s="62" customFormat="1" ht="27.6" customHeight="1">
      <c r="A20" s="484" t="s">
        <v>167</v>
      </c>
      <c r="C20" s="486"/>
      <c r="D20" s="464"/>
      <c r="E20" s="465"/>
      <c r="F20" s="486"/>
      <c r="G20" s="465"/>
      <c r="H20" s="486"/>
      <c r="I20" s="465"/>
      <c r="J20" s="485">
        <f>+J21</f>
        <v>0</v>
      </c>
      <c r="K20" s="465"/>
      <c r="L20" s="486"/>
      <c r="M20" s="465"/>
      <c r="N20" s="486"/>
      <c r="O20" s="465"/>
      <c r="P20" s="486"/>
      <c r="Q20" s="466"/>
      <c r="R20" s="486"/>
      <c r="S20" s="466"/>
      <c r="T20" s="486">
        <f>SUM(C20:R20)</f>
        <v>0</v>
      </c>
    </row>
    <row r="21" spans="1:21" s="62" customFormat="1" ht="27.6" customHeight="1">
      <c r="A21" s="586" t="s">
        <v>169</v>
      </c>
      <c r="C21" s="582"/>
      <c r="D21" s="583"/>
      <c r="E21" s="584"/>
      <c r="F21" s="582"/>
      <c r="G21" s="584"/>
      <c r="H21" s="582"/>
      <c r="I21" s="584"/>
      <c r="J21" s="587"/>
      <c r="K21" s="584"/>
      <c r="L21" s="582"/>
      <c r="M21" s="584"/>
      <c r="N21" s="582"/>
      <c r="O21" s="584"/>
      <c r="P21" s="582"/>
      <c r="Q21" s="585"/>
      <c r="R21" s="582"/>
      <c r="S21" s="585"/>
      <c r="T21" s="582"/>
    </row>
    <row r="22" spans="1:21" s="62" customFormat="1" ht="27.6" customHeight="1">
      <c r="A22" s="484" t="s">
        <v>166</v>
      </c>
      <c r="C22" s="486"/>
      <c r="D22" s="464"/>
      <c r="E22" s="465"/>
      <c r="F22" s="486"/>
      <c r="G22" s="465"/>
      <c r="H22" s="486"/>
      <c r="I22" s="465"/>
      <c r="J22" s="486"/>
      <c r="K22" s="465"/>
      <c r="L22" s="486"/>
      <c r="M22" s="465"/>
      <c r="N22" s="486"/>
      <c r="O22" s="465"/>
      <c r="P22" s="486"/>
      <c r="Q22" s="466"/>
      <c r="R22" s="486"/>
      <c r="S22" s="466"/>
      <c r="T22" s="486">
        <f>SUM(C22:R22)</f>
        <v>0</v>
      </c>
    </row>
    <row r="23" spans="1:21" s="463" customFormat="1" ht="27.6" customHeight="1">
      <c r="A23" s="484" t="s">
        <v>168</v>
      </c>
      <c r="C23" s="485"/>
      <c r="D23" s="461"/>
      <c r="E23" s="462"/>
      <c r="F23" s="485"/>
      <c r="G23" s="462"/>
      <c r="H23" s="485"/>
      <c r="I23" s="462"/>
      <c r="J23" s="485"/>
      <c r="K23" s="462"/>
      <c r="L23" s="485">
        <f>+L24</f>
        <v>28130280</v>
      </c>
      <c r="M23" s="462"/>
      <c r="N23" s="485">
        <f>+'3 años'!G51+N24</f>
        <v>506345034</v>
      </c>
      <c r="O23" s="462"/>
      <c r="P23" s="485">
        <f>+'3 años'!G53-'3 años'!H53</f>
        <v>1921406574</v>
      </c>
      <c r="Q23" s="461"/>
      <c r="R23" s="485">
        <v>0</v>
      </c>
      <c r="S23" s="461"/>
      <c r="T23" s="485">
        <f>SUM(C23:R23)</f>
        <v>2455881888</v>
      </c>
    </row>
    <row r="24" spans="1:21" s="62" customFormat="1" ht="27.6" customHeight="1">
      <c r="A24" s="62" t="s">
        <v>1853</v>
      </c>
      <c r="C24" s="464"/>
      <c r="D24" s="464"/>
      <c r="E24" s="465"/>
      <c r="F24" s="464"/>
      <c r="G24" s="465"/>
      <c r="H24" s="464"/>
      <c r="I24" s="465"/>
      <c r="J24" s="464"/>
      <c r="K24" s="465"/>
      <c r="L24" s="464">
        <f>+'3 años'!G49-'3 años'!H49</f>
        <v>28130280</v>
      </c>
      <c r="M24" s="465"/>
      <c r="N24" s="464">
        <f>-L24</f>
        <v>-28130280</v>
      </c>
      <c r="O24" s="465"/>
      <c r="P24" s="464"/>
      <c r="Q24" s="466"/>
      <c r="R24" s="59"/>
    </row>
    <row r="25" spans="1:21" s="463" customFormat="1" ht="27.6" customHeight="1" thickBot="1">
      <c r="A25" s="484" t="s">
        <v>2547</v>
      </c>
      <c r="B25" s="66"/>
      <c r="C25" s="487">
        <f>C16+C17+C18+C19+C20+C22+C23</f>
        <v>15000000000</v>
      </c>
      <c r="D25" s="470">
        <f>SUM(D14:D23)</f>
        <v>0</v>
      </c>
      <c r="E25" s="471"/>
      <c r="F25" s="487">
        <f>F16+F17+F18+F19+F20+F22+F23</f>
        <v>0</v>
      </c>
      <c r="G25" s="471">
        <f>SUM(G14:G24)</f>
        <v>0</v>
      </c>
      <c r="H25" s="487">
        <f>H16+H17+H18+H19+H20+H22+H23</f>
        <v>1815870408</v>
      </c>
      <c r="I25" s="471"/>
      <c r="J25" s="487">
        <f>J16+J17+J18+J19+J20+J22+J23</f>
        <v>1252221963</v>
      </c>
      <c r="K25" s="471"/>
      <c r="L25" s="487">
        <f>L16+L17+L18+L19+L20+L22+L23</f>
        <v>1171598793</v>
      </c>
      <c r="M25" s="471"/>
      <c r="N25" s="487">
        <f>N16+N17+N18+N19+N20+N22+N24</f>
        <v>534475314</v>
      </c>
      <c r="O25" s="471"/>
      <c r="P25" s="487">
        <f>P16+P17+P18+P19+P20+P22+P23</f>
        <v>5436129462</v>
      </c>
      <c r="Q25" s="461"/>
      <c r="R25" s="487">
        <f>R16+R17+R18+R19+R20+R22+R23</f>
        <v>0</v>
      </c>
      <c r="S25" s="461"/>
      <c r="T25" s="487">
        <f>SUM(C25:R25)</f>
        <v>25210295940</v>
      </c>
      <c r="U25" s="581">
        <f>+T25-'3 años'!G56</f>
        <v>0</v>
      </c>
    </row>
    <row r="26" spans="1:21" s="62" customFormat="1" ht="27.6" customHeight="1" thickTop="1">
      <c r="A26" s="467" t="s">
        <v>912</v>
      </c>
      <c r="C26" s="464"/>
      <c r="D26" s="464"/>
      <c r="E26" s="465"/>
      <c r="F26" s="464"/>
      <c r="G26" s="465"/>
      <c r="H26" s="464"/>
      <c r="I26" s="465"/>
      <c r="J26" s="464"/>
      <c r="K26" s="465"/>
      <c r="L26" s="464"/>
      <c r="M26" s="465"/>
      <c r="N26" s="468"/>
      <c r="O26" s="465"/>
      <c r="P26" s="468"/>
      <c r="Q26" s="466"/>
      <c r="R26" s="472"/>
      <c r="S26" s="473"/>
      <c r="T26" s="473">
        <f>SUM(C26:S26)</f>
        <v>0</v>
      </c>
    </row>
    <row r="27" spans="1:21" s="463" customFormat="1" ht="27.6" customHeight="1">
      <c r="A27" s="484" t="s">
        <v>166</v>
      </c>
      <c r="B27" s="474"/>
      <c r="C27" s="485"/>
      <c r="D27" s="461"/>
      <c r="E27" s="462"/>
      <c r="F27" s="485"/>
      <c r="G27" s="462"/>
      <c r="H27" s="485"/>
      <c r="I27" s="462"/>
      <c r="J27" s="485"/>
      <c r="K27" s="462"/>
      <c r="L27" s="485"/>
      <c r="M27" s="462"/>
      <c r="N27" s="485"/>
      <c r="O27" s="462"/>
      <c r="P27" s="485"/>
      <c r="Q27" s="461"/>
      <c r="R27" s="485"/>
      <c r="S27" s="461"/>
      <c r="T27" s="485"/>
    </row>
    <row r="28" spans="1:21" s="62" customFormat="1" ht="27.6" customHeight="1">
      <c r="A28" s="474" t="s">
        <v>169</v>
      </c>
      <c r="B28" s="474"/>
      <c r="C28" s="464"/>
      <c r="D28" s="464"/>
      <c r="E28" s="465"/>
      <c r="F28" s="464"/>
      <c r="G28" s="465"/>
      <c r="H28" s="464"/>
      <c r="I28" s="465"/>
      <c r="J28" s="464"/>
      <c r="K28" s="465"/>
      <c r="L28" s="468"/>
      <c r="M28" s="465"/>
      <c r="N28" s="464"/>
      <c r="O28" s="465"/>
      <c r="P28" s="464"/>
      <c r="Q28" s="466"/>
      <c r="S28" s="464"/>
      <c r="T28" s="473">
        <f>SUM(C28:S28)</f>
        <v>0</v>
      </c>
    </row>
    <row r="29" spans="1:21" s="463" customFormat="1" ht="27.6" customHeight="1">
      <c r="A29" s="484" t="s">
        <v>1853</v>
      </c>
      <c r="C29" s="485"/>
      <c r="D29" s="461"/>
      <c r="E29" s="462"/>
      <c r="F29" s="485"/>
      <c r="G29" s="462"/>
      <c r="H29" s="485"/>
      <c r="I29" s="462"/>
      <c r="J29" s="485"/>
      <c r="K29" s="462"/>
      <c r="L29" s="485">
        <f>+'3 años'!F49-'3 años'!G49</f>
        <v>120038935</v>
      </c>
      <c r="M29" s="462"/>
      <c r="N29" s="485">
        <f>-L29</f>
        <v>-120038935</v>
      </c>
      <c r="O29" s="462"/>
      <c r="P29" s="485"/>
      <c r="Q29" s="461"/>
      <c r="R29" s="485"/>
      <c r="S29" s="461"/>
      <c r="T29" s="485">
        <f>SUM(H29:R29)</f>
        <v>0</v>
      </c>
    </row>
    <row r="30" spans="1:21" s="62" customFormat="1" ht="27.6" customHeight="1">
      <c r="C30" s="464"/>
      <c r="D30" s="464"/>
      <c r="E30" s="465"/>
      <c r="F30" s="464"/>
      <c r="G30" s="465"/>
      <c r="H30" s="464"/>
      <c r="I30" s="465"/>
      <c r="J30" s="464"/>
      <c r="K30" s="465"/>
      <c r="L30" s="464"/>
      <c r="M30" s="465"/>
      <c r="N30" s="464"/>
      <c r="O30" s="465"/>
      <c r="P30" s="464"/>
      <c r="Q30" s="466"/>
      <c r="R30" s="59"/>
    </row>
    <row r="31" spans="1:21" s="463" customFormat="1" ht="27.6" customHeight="1">
      <c r="A31" s="484" t="s">
        <v>1854</v>
      </c>
      <c r="C31" s="485"/>
      <c r="D31" s="461"/>
      <c r="E31" s="462"/>
      <c r="F31" s="485"/>
      <c r="G31" s="462"/>
      <c r="H31" s="485"/>
      <c r="I31" s="462"/>
      <c r="J31" s="485"/>
      <c r="K31" s="462"/>
      <c r="L31" s="485"/>
      <c r="M31" s="462"/>
      <c r="N31" s="485">
        <f>+'3 años'!F51-'3 años'!G51</f>
        <v>-534475314</v>
      </c>
      <c r="O31" s="462"/>
      <c r="P31" s="485">
        <f>+P33-P25</f>
        <v>-3846947742</v>
      </c>
      <c r="Q31" s="461"/>
      <c r="R31" s="485"/>
      <c r="S31" s="461"/>
      <c r="T31" s="485">
        <f>SUM(H31:R31)</f>
        <v>-4381423056</v>
      </c>
    </row>
    <row r="32" spans="1:21" s="62" customFormat="1" ht="27.6" customHeight="1">
      <c r="C32" s="464"/>
      <c r="D32" s="464"/>
      <c r="E32" s="465"/>
      <c r="F32" s="464"/>
      <c r="G32" s="465"/>
      <c r="H32" s="464"/>
      <c r="I32" s="465"/>
      <c r="J32" s="464"/>
      <c r="K32" s="465"/>
      <c r="L32" s="464"/>
      <c r="M32" s="465"/>
      <c r="N32" s="464"/>
      <c r="O32" s="465"/>
      <c r="P32" s="464"/>
      <c r="Q32" s="466"/>
      <c r="R32" s="59"/>
    </row>
    <row r="33" spans="1:21" s="463" customFormat="1" ht="27.6" customHeight="1" thickBot="1">
      <c r="A33" s="484" t="s">
        <v>2548</v>
      </c>
      <c r="B33" s="66"/>
      <c r="C33" s="487">
        <f>+'3 años'!F47</f>
        <v>15000000000</v>
      </c>
      <c r="D33" s="470">
        <f>SUM(D25:D29)</f>
        <v>0</v>
      </c>
      <c r="E33" s="462"/>
      <c r="F33" s="487">
        <f>F25+F26+F27+F28+F29</f>
        <v>0</v>
      </c>
      <c r="G33" s="462"/>
      <c r="H33" s="487">
        <f>+'3 años'!F48</f>
        <v>1815870408</v>
      </c>
      <c r="I33" s="462"/>
      <c r="J33" s="487">
        <f>+'3 años'!F50</f>
        <v>1252221963</v>
      </c>
      <c r="K33" s="462"/>
      <c r="L33" s="487">
        <f>+'3 años'!F49</f>
        <v>1291637728</v>
      </c>
      <c r="M33" s="462"/>
      <c r="N33" s="487">
        <f>+'3 años'!F51</f>
        <v>0</v>
      </c>
      <c r="O33" s="462"/>
      <c r="P33" s="487">
        <f>+'3 años'!F53</f>
        <v>1589181720</v>
      </c>
      <c r="Q33" s="461"/>
      <c r="R33" s="487">
        <f>R25+R26+R27+R28+R29</f>
        <v>0</v>
      </c>
      <c r="S33" s="461"/>
      <c r="T33" s="487">
        <f>SUM(C33:R33)</f>
        <v>20948911819</v>
      </c>
      <c r="U33" s="581">
        <f>+T33-'3 años'!F56</f>
        <v>0</v>
      </c>
    </row>
    <row r="34" spans="1:21" s="62" customFormat="1" ht="27.6" customHeight="1" thickTop="1">
      <c r="A34" s="66"/>
      <c r="B34" s="66"/>
      <c r="C34" s="475"/>
      <c r="D34" s="461"/>
      <c r="E34" s="462"/>
      <c r="F34" s="475"/>
      <c r="G34" s="462"/>
      <c r="H34" s="475"/>
      <c r="I34" s="462"/>
      <c r="J34" s="475"/>
      <c r="K34" s="462"/>
      <c r="L34" s="475"/>
      <c r="M34" s="462"/>
      <c r="N34" s="475"/>
      <c r="O34" s="462"/>
      <c r="P34" s="475"/>
      <c r="Q34" s="466"/>
      <c r="R34" s="476"/>
    </row>
    <row r="35" spans="1:21" s="62" customFormat="1" ht="27.6" customHeight="1">
      <c r="A35" s="62" t="s">
        <v>138</v>
      </c>
      <c r="C35" s="469"/>
      <c r="D35" s="469"/>
      <c r="E35" s="477"/>
      <c r="F35" s="469"/>
      <c r="G35" s="477"/>
      <c r="J35" s="464"/>
      <c r="K35" s="477"/>
      <c r="L35" s="469"/>
      <c r="M35" s="477"/>
      <c r="N35" s="469"/>
      <c r="O35" s="477"/>
      <c r="P35" s="469"/>
      <c r="Q35" s="466"/>
    </row>
    <row r="36" spans="1:21">
      <c r="C36" s="102"/>
      <c r="D36" s="102"/>
      <c r="E36" s="103"/>
      <c r="F36" s="102"/>
      <c r="G36" s="103"/>
      <c r="H36" s="1"/>
      <c r="I36" s="1"/>
      <c r="K36" s="103"/>
      <c r="L36" s="102"/>
      <c r="M36" s="103"/>
      <c r="N36" s="102"/>
      <c r="O36" s="103"/>
      <c r="P36" s="102"/>
    </row>
    <row r="37" spans="1:21">
      <c r="C37" s="102"/>
      <c r="D37" s="102"/>
      <c r="E37" s="103"/>
      <c r="F37" s="102"/>
      <c r="G37" s="103"/>
      <c r="H37" s="1"/>
      <c r="I37" s="1"/>
      <c r="K37" s="103"/>
      <c r="L37" s="102"/>
      <c r="M37" s="103"/>
      <c r="N37" s="102"/>
      <c r="O37" s="103"/>
      <c r="P37" s="102"/>
    </row>
    <row r="38" spans="1:21">
      <c r="C38" s="102"/>
      <c r="D38" s="102"/>
      <c r="E38" s="103"/>
      <c r="F38" s="102"/>
      <c r="G38" s="103"/>
      <c r="H38" s="1"/>
      <c r="I38" s="1"/>
      <c r="K38" s="103"/>
      <c r="L38" s="102"/>
      <c r="M38" s="103"/>
      <c r="N38" s="102"/>
      <c r="O38" s="103"/>
      <c r="P38" s="102"/>
    </row>
    <row r="39" spans="1:21">
      <c r="C39" s="102"/>
      <c r="D39" s="102"/>
      <c r="E39" s="103"/>
      <c r="F39" s="102"/>
      <c r="G39" s="103"/>
      <c r="H39" s="1"/>
      <c r="I39" s="1"/>
      <c r="K39" s="103"/>
      <c r="L39" s="102"/>
      <c r="M39" s="103"/>
      <c r="N39" s="102"/>
      <c r="O39" s="103"/>
      <c r="P39" s="102"/>
    </row>
    <row r="41" spans="1:21">
      <c r="C41" s="102"/>
      <c r="D41" s="102"/>
      <c r="E41" s="103"/>
      <c r="F41" s="102"/>
      <c r="G41" s="103"/>
      <c r="H41" s="1"/>
      <c r="I41" s="1"/>
      <c r="K41" s="103"/>
      <c r="L41" s="102"/>
      <c r="M41" s="103"/>
      <c r="N41" s="102"/>
      <c r="O41" s="103"/>
      <c r="P41" s="102"/>
    </row>
    <row r="42" spans="1:21">
      <c r="F42" s="102"/>
      <c r="H42" s="1"/>
      <c r="I42" s="1"/>
      <c r="J42" s="104"/>
    </row>
  </sheetData>
  <mergeCells count="14">
    <mergeCell ref="T11:T12"/>
    <mergeCell ref="A6:P6"/>
    <mergeCell ref="A7:P7"/>
    <mergeCell ref="C10:F10"/>
    <mergeCell ref="L10:P10"/>
    <mergeCell ref="A11:A12"/>
    <mergeCell ref="C11:C12"/>
    <mergeCell ref="F11:F12"/>
    <mergeCell ref="H11:H12"/>
    <mergeCell ref="J11:J12"/>
    <mergeCell ref="L11:L12"/>
    <mergeCell ref="N11:N12"/>
    <mergeCell ref="P11:P12"/>
    <mergeCell ref="R11:R12"/>
  </mergeCells>
  <hyperlinks>
    <hyperlink ref="H1" location="Indice!A1" display="Indice" xr:uid="{00000000-0004-0000-0400-000000000000}"/>
  </hyperlinks>
  <pageMargins left="0.25" right="0.25" top="0.75" bottom="0.75" header="0.3" footer="0.3"/>
  <pageSetup paperSize="9" scale="63" fitToHeight="0"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5" tint="-0.499984740745262"/>
    <pageSetUpPr fitToPage="1"/>
  </sheetPr>
  <dimension ref="A1:N14"/>
  <sheetViews>
    <sheetView showGridLines="0" workbookViewId="0">
      <selection activeCell="A10" sqref="A10"/>
    </sheetView>
  </sheetViews>
  <sheetFormatPr baseColWidth="10" defaultRowHeight="15"/>
  <cols>
    <col min="1" max="5" width="24.28515625" style="133" customWidth="1"/>
    <col min="6" max="6" width="12.85546875" style="133" customWidth="1"/>
    <col min="7" max="7" width="11.5703125" style="133" customWidth="1"/>
    <col min="8" max="8" width="17.28515625" style="133" customWidth="1"/>
    <col min="9" max="14" width="11.5703125" style="133" customWidth="1"/>
  </cols>
  <sheetData>
    <row r="1" spans="1:14">
      <c r="E1" s="153" t="s">
        <v>113</v>
      </c>
    </row>
    <row r="2" spans="1:14">
      <c r="C2" s="136"/>
    </row>
    <row r="5" spans="1:14">
      <c r="A5" s="141" t="s">
        <v>481</v>
      </c>
      <c r="B5" s="141"/>
      <c r="C5" s="141"/>
      <c r="D5" s="141"/>
      <c r="E5" s="141"/>
      <c r="F5" s="141"/>
      <c r="G5" s="141"/>
      <c r="H5" s="141"/>
      <c r="I5" s="141"/>
    </row>
    <row r="6" spans="1:14" s="342" customFormat="1" ht="12" hidden="1" customHeight="1">
      <c r="A6" s="831" t="s">
        <v>482</v>
      </c>
      <c r="B6" s="831"/>
      <c r="C6" s="831"/>
      <c r="D6" s="831"/>
      <c r="E6" s="831"/>
      <c r="F6" s="831"/>
      <c r="G6" s="831"/>
      <c r="H6" s="831"/>
      <c r="I6" s="831"/>
      <c r="J6" s="341"/>
      <c r="K6" s="341"/>
      <c r="L6" s="341"/>
      <c r="M6" s="341"/>
      <c r="N6" s="341"/>
    </row>
    <row r="8" spans="1:14" s="294" customFormat="1">
      <c r="A8" s="293"/>
      <c r="B8" s="293"/>
      <c r="C8" s="293"/>
      <c r="D8" s="293"/>
      <c r="E8" s="293"/>
      <c r="F8" s="293"/>
      <c r="G8" s="293"/>
      <c r="H8" s="293"/>
      <c r="I8" s="293"/>
      <c r="J8" s="293"/>
      <c r="K8" s="293"/>
      <c r="L8" s="293"/>
      <c r="M8" s="293"/>
      <c r="N8" s="293"/>
    </row>
    <row r="9" spans="1:14" s="293" customFormat="1" ht="39.200000000000003" customHeight="1">
      <c r="A9" s="846" t="s">
        <v>2490</v>
      </c>
      <c r="B9" s="846"/>
      <c r="C9" s="846"/>
      <c r="D9" s="846"/>
      <c r="E9" s="846"/>
      <c r="F9" s="846"/>
      <c r="G9" s="846"/>
      <c r="H9" s="846"/>
      <c r="I9" s="846"/>
    </row>
    <row r="10" spans="1:14" s="294" customFormat="1">
      <c r="A10" s="293"/>
      <c r="B10" s="293"/>
      <c r="C10" s="293"/>
      <c r="D10" s="293"/>
      <c r="E10" s="293"/>
      <c r="F10" s="293"/>
      <c r="G10" s="293"/>
      <c r="H10" s="293"/>
      <c r="I10" s="293"/>
      <c r="J10" s="293"/>
      <c r="K10" s="293"/>
      <c r="L10" s="293"/>
      <c r="M10" s="293"/>
      <c r="N10" s="293"/>
    </row>
    <row r="11" spans="1:14" s="294" customFormat="1" ht="46.5" customHeight="1">
      <c r="J11" s="293"/>
      <c r="K11" s="293"/>
      <c r="L11" s="293"/>
      <c r="M11" s="293"/>
      <c r="N11" s="293"/>
    </row>
    <row r="12" spans="1:14" s="294" customFormat="1">
      <c r="A12" s="293"/>
      <c r="B12" s="293"/>
      <c r="C12" s="293"/>
      <c r="D12" s="293"/>
      <c r="E12" s="293"/>
      <c r="F12" s="293"/>
      <c r="G12" s="293"/>
      <c r="H12" s="293"/>
      <c r="I12" s="293"/>
      <c r="J12" s="293"/>
      <c r="K12" s="293"/>
      <c r="L12" s="293"/>
      <c r="M12" s="293"/>
      <c r="N12" s="293"/>
    </row>
    <row r="13" spans="1:14" s="294" customFormat="1">
      <c r="A13" s="847"/>
      <c r="B13" s="847"/>
      <c r="C13" s="847"/>
      <c r="D13" s="847"/>
      <c r="E13" s="847"/>
      <c r="F13" s="847"/>
      <c r="G13" s="847"/>
      <c r="H13" s="847"/>
      <c r="I13" s="847"/>
      <c r="J13" s="293"/>
      <c r="K13" s="293"/>
      <c r="L13" s="293"/>
      <c r="M13" s="293"/>
      <c r="N13" s="293"/>
    </row>
    <row r="14" spans="1:14" s="294" customFormat="1">
      <c r="A14" s="293"/>
      <c r="B14" s="293"/>
      <c r="C14" s="293"/>
      <c r="D14" s="293"/>
      <c r="E14" s="293"/>
      <c r="F14" s="293"/>
      <c r="G14" s="293"/>
      <c r="H14" s="293"/>
      <c r="I14" s="293"/>
      <c r="J14" s="293"/>
      <c r="K14" s="293"/>
      <c r="L14" s="293"/>
      <c r="M14" s="293"/>
      <c r="N14" s="293"/>
    </row>
  </sheetData>
  <mergeCells count="3">
    <mergeCell ref="A6:I6"/>
    <mergeCell ref="A9:I9"/>
    <mergeCell ref="A13:I13"/>
  </mergeCells>
  <hyperlinks>
    <hyperlink ref="E1" location="Indice!A1" display="Indice" xr:uid="{00000000-0004-0000-3100-000000000000}"/>
  </hyperlinks>
  <pageMargins left="0.25" right="0.25" top="0.75" bottom="0.75" header="0.3" footer="0.3"/>
  <pageSetup scale="58" fitToHeight="0"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5" tint="-0.499984740745262"/>
    <pageSetUpPr fitToPage="1"/>
  </sheetPr>
  <dimension ref="A1:H37"/>
  <sheetViews>
    <sheetView showGridLines="0" topLeftCell="A25" workbookViewId="0">
      <selection activeCell="A7" sqref="A7"/>
    </sheetView>
  </sheetViews>
  <sheetFormatPr baseColWidth="10" defaultRowHeight="15"/>
  <cols>
    <col min="1" max="1" width="42.7109375" customWidth="1"/>
    <col min="2" max="2" width="17" customWidth="1"/>
    <col min="3" max="3" width="17.7109375" customWidth="1"/>
  </cols>
  <sheetData>
    <row r="1" spans="1:8">
      <c r="C1" s="343" t="s">
        <v>113</v>
      </c>
      <c r="H1" s="124"/>
    </row>
    <row r="5" spans="1:8">
      <c r="A5" s="344" t="s">
        <v>483</v>
      </c>
      <c r="B5" s="344"/>
      <c r="C5" s="344"/>
      <c r="D5" s="344"/>
      <c r="E5" s="345"/>
      <c r="F5" s="345"/>
      <c r="G5" s="345"/>
    </row>
    <row r="6" spans="1:8">
      <c r="A6" s="346" t="s">
        <v>2084</v>
      </c>
      <c r="B6" s="347"/>
      <c r="C6" s="347"/>
      <c r="D6" s="347"/>
      <c r="E6" s="347"/>
      <c r="F6" s="347"/>
      <c r="G6" s="347"/>
    </row>
    <row r="7" spans="1:8">
      <c r="A7" s="347"/>
      <c r="B7" s="347"/>
      <c r="C7" s="347"/>
      <c r="D7" s="347"/>
      <c r="E7" s="347"/>
      <c r="F7" s="347"/>
      <c r="G7" s="347"/>
    </row>
    <row r="8" spans="1:8">
      <c r="A8" s="412"/>
      <c r="B8" s="412"/>
      <c r="C8" s="412"/>
      <c r="D8" s="412"/>
      <c r="E8" s="412"/>
      <c r="F8" s="412"/>
      <c r="G8" s="412"/>
    </row>
    <row r="9" spans="1:8">
      <c r="A9" s="347"/>
      <c r="B9" s="347"/>
      <c r="C9" s="347"/>
      <c r="D9" s="347"/>
      <c r="E9" s="347"/>
      <c r="F9" s="347"/>
      <c r="G9" s="347"/>
    </row>
    <row r="10" spans="1:8">
      <c r="A10" s="348"/>
      <c r="B10" s="211">
        <f>+'Nota 38'!B11</f>
        <v>2024</v>
      </c>
      <c r="C10" s="211">
        <f>+'Nota 38'!C11</f>
        <v>2023</v>
      </c>
      <c r="D10" s="347"/>
      <c r="E10" s="347"/>
      <c r="F10" s="347"/>
      <c r="G10" s="347"/>
    </row>
    <row r="11" spans="1:8">
      <c r="A11" s="349" t="s">
        <v>484</v>
      </c>
      <c r="B11" s="397"/>
      <c r="C11" s="397"/>
      <c r="D11" s="347"/>
      <c r="E11" s="347"/>
      <c r="F11" s="347"/>
      <c r="G11" s="347"/>
    </row>
    <row r="12" spans="1:8">
      <c r="A12" s="350" t="s">
        <v>22</v>
      </c>
      <c r="B12" s="397"/>
      <c r="C12" s="397"/>
      <c r="D12" s="347"/>
      <c r="E12" s="347"/>
      <c r="F12" s="347"/>
      <c r="G12" s="347"/>
    </row>
    <row r="13" spans="1:8">
      <c r="A13" s="350" t="s">
        <v>485</v>
      </c>
      <c r="B13" s="397"/>
      <c r="C13" s="397"/>
      <c r="D13" s="347"/>
      <c r="E13" s="347"/>
      <c r="F13" s="347"/>
      <c r="G13" s="347"/>
    </row>
    <row r="14" spans="1:8">
      <c r="A14" s="350" t="s">
        <v>26</v>
      </c>
      <c r="B14" s="397"/>
      <c r="C14" s="397"/>
      <c r="D14" s="347"/>
      <c r="E14" s="347"/>
      <c r="F14" s="347"/>
      <c r="G14" s="347"/>
    </row>
    <row r="15" spans="1:8">
      <c r="A15" s="349" t="s">
        <v>486</v>
      </c>
      <c r="B15" s="397"/>
      <c r="C15" s="397"/>
      <c r="D15" s="347"/>
      <c r="E15" s="347"/>
      <c r="F15" s="347"/>
      <c r="G15" s="347"/>
    </row>
    <row r="16" spans="1:8">
      <c r="A16" s="349" t="s">
        <v>487</v>
      </c>
      <c r="B16" s="399"/>
      <c r="C16" s="399"/>
      <c r="D16" s="347"/>
      <c r="E16" s="347"/>
      <c r="F16" s="347"/>
      <c r="G16" s="347"/>
    </row>
    <row r="17" spans="1:7">
      <c r="A17" s="350" t="s">
        <v>923</v>
      </c>
      <c r="B17" s="397">
        <v>0</v>
      </c>
      <c r="C17" s="397">
        <v>0</v>
      </c>
      <c r="D17" s="347"/>
      <c r="E17" s="347"/>
      <c r="F17" s="347"/>
      <c r="G17" s="347"/>
    </row>
    <row r="18" spans="1:7">
      <c r="A18" s="350" t="s">
        <v>1859</v>
      </c>
      <c r="B18" s="397">
        <v>0</v>
      </c>
      <c r="C18" s="397">
        <v>0</v>
      </c>
      <c r="D18" s="347"/>
      <c r="E18" s="347"/>
      <c r="F18" s="347"/>
      <c r="G18" s="347"/>
    </row>
    <row r="19" spans="1:7">
      <c r="A19" s="350" t="s">
        <v>42</v>
      </c>
      <c r="B19" s="397"/>
      <c r="C19" s="397"/>
      <c r="D19" s="347"/>
      <c r="E19" s="347"/>
      <c r="F19" s="347"/>
      <c r="G19" s="347"/>
    </row>
    <row r="20" spans="1:7">
      <c r="A20" s="350" t="s">
        <v>50</v>
      </c>
      <c r="B20" s="397"/>
      <c r="C20" s="397"/>
      <c r="D20" s="347"/>
      <c r="E20" s="347"/>
      <c r="F20" s="347"/>
      <c r="G20" s="347"/>
    </row>
    <row r="21" spans="1:7">
      <c r="A21" s="350" t="s">
        <v>488</v>
      </c>
      <c r="B21" s="397"/>
      <c r="C21" s="397"/>
      <c r="D21" s="347"/>
      <c r="E21" s="347"/>
      <c r="F21" s="347"/>
      <c r="G21" s="347"/>
    </row>
    <row r="22" spans="1:7">
      <c r="A22" s="350" t="s">
        <v>489</v>
      </c>
      <c r="B22" s="397"/>
      <c r="C22" s="397"/>
      <c r="D22" s="347"/>
      <c r="E22" s="347"/>
      <c r="F22" s="347"/>
      <c r="G22" s="347"/>
    </row>
    <row r="23" spans="1:7">
      <c r="A23" s="349" t="s">
        <v>490</v>
      </c>
      <c r="B23" s="398"/>
      <c r="C23" s="398">
        <f>SUM(C17:C22)</f>
        <v>0</v>
      </c>
      <c r="D23" s="347"/>
      <c r="E23" s="347"/>
      <c r="F23" s="347"/>
      <c r="G23" s="347"/>
    </row>
    <row r="24" spans="1:7">
      <c r="A24" s="347"/>
      <c r="B24" s="347"/>
      <c r="C24" s="347"/>
      <c r="D24" s="347"/>
      <c r="E24" s="347"/>
      <c r="F24" s="347"/>
      <c r="G24" s="347"/>
    </row>
    <row r="25" spans="1:7">
      <c r="A25" s="411"/>
      <c r="B25" s="411"/>
      <c r="C25" s="411"/>
      <c r="D25" s="411"/>
      <c r="E25" s="411"/>
      <c r="F25" s="411"/>
      <c r="G25" s="351"/>
    </row>
    <row r="26" spans="1:7">
      <c r="A26" s="351"/>
      <c r="B26" s="351"/>
      <c r="C26" s="351"/>
      <c r="D26" s="351"/>
      <c r="E26" s="351"/>
      <c r="F26" s="351"/>
      <c r="G26" s="351"/>
    </row>
    <row r="27" spans="1:7">
      <c r="A27" s="352"/>
      <c r="B27" s="211">
        <v>2022</v>
      </c>
      <c r="C27" s="211">
        <v>2021</v>
      </c>
      <c r="D27" s="351"/>
      <c r="E27" s="351"/>
      <c r="F27" s="351"/>
      <c r="G27" s="351"/>
    </row>
    <row r="28" spans="1:7">
      <c r="A28" s="353" t="s">
        <v>73</v>
      </c>
      <c r="B28" s="354"/>
      <c r="C28" s="354"/>
      <c r="D28" s="351"/>
      <c r="E28" s="351"/>
      <c r="F28" s="351"/>
      <c r="G28" s="351"/>
    </row>
    <row r="29" spans="1:7">
      <c r="A29" s="354" t="s">
        <v>491</v>
      </c>
      <c r="B29" s="354"/>
      <c r="C29" s="354"/>
      <c r="D29" s="351"/>
      <c r="E29" s="351"/>
      <c r="F29" s="351"/>
      <c r="G29" s="351"/>
    </row>
    <row r="30" spans="1:7">
      <c r="A30" s="354"/>
      <c r="B30" s="354"/>
      <c r="C30" s="354"/>
      <c r="D30" s="351"/>
      <c r="E30" s="351"/>
      <c r="F30" s="351"/>
      <c r="G30" s="351"/>
    </row>
    <row r="31" spans="1:7">
      <c r="A31" s="353" t="s">
        <v>77</v>
      </c>
      <c r="B31" s="354"/>
      <c r="C31" s="354"/>
      <c r="D31" s="351"/>
      <c r="E31" s="351"/>
      <c r="F31" s="351"/>
      <c r="G31" s="351"/>
    </row>
    <row r="32" spans="1:7">
      <c r="A32" s="354" t="s">
        <v>492</v>
      </c>
      <c r="B32" s="354"/>
      <c r="C32" s="354"/>
      <c r="D32" s="351"/>
      <c r="E32" s="351"/>
      <c r="F32" s="351"/>
      <c r="G32" s="351"/>
    </row>
    <row r="33" spans="1:7">
      <c r="A33" s="354" t="s">
        <v>493</v>
      </c>
      <c r="B33" s="354"/>
      <c r="C33" s="354"/>
      <c r="D33" s="351"/>
      <c r="E33" s="351"/>
      <c r="F33" s="351"/>
      <c r="G33" s="351"/>
    </row>
    <row r="34" spans="1:7">
      <c r="A34" s="353" t="s">
        <v>494</v>
      </c>
      <c r="B34" s="354"/>
      <c r="C34" s="354"/>
      <c r="D34" s="351"/>
      <c r="E34" s="351"/>
      <c r="F34" s="351"/>
      <c r="G34" s="351"/>
    </row>
    <row r="35" spans="1:7">
      <c r="A35" s="354" t="s">
        <v>495</v>
      </c>
      <c r="B35" s="354"/>
      <c r="C35" s="354"/>
      <c r="D35" s="351"/>
      <c r="E35" s="351"/>
      <c r="F35" s="351"/>
      <c r="G35" s="351"/>
    </row>
    <row r="36" spans="1:7">
      <c r="A36" s="351"/>
      <c r="B36" s="351"/>
      <c r="C36" s="351"/>
      <c r="D36" s="351"/>
      <c r="E36" s="351"/>
      <c r="F36" s="351"/>
      <c r="G36" s="351"/>
    </row>
    <row r="37" spans="1:7">
      <c r="A37" s="351"/>
      <c r="B37" s="351"/>
      <c r="C37" s="351"/>
      <c r="D37" s="351"/>
      <c r="E37" s="351"/>
      <c r="F37" s="351"/>
      <c r="G37" s="351"/>
    </row>
  </sheetData>
  <hyperlinks>
    <hyperlink ref="C1" location="Indice!A1" display="Indice" xr:uid="{00000000-0004-0000-3200-000000000000}"/>
  </hyperlinks>
  <pageMargins left="0.25" right="0.25" top="0.75" bottom="0.75" header="0.3" footer="0.3"/>
  <pageSetup fitToHeight="0"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179"/>
  <sheetViews>
    <sheetView workbookViewId="0">
      <selection activeCell="C1" sqref="C1"/>
    </sheetView>
  </sheetViews>
  <sheetFormatPr baseColWidth="10" defaultRowHeight="15"/>
  <cols>
    <col min="2" max="2" width="66.140625" bestFit="1" customWidth="1"/>
  </cols>
  <sheetData>
    <row r="1" spans="1:7">
      <c r="A1" t="s">
        <v>496</v>
      </c>
      <c r="B1" t="s">
        <v>497</v>
      </c>
      <c r="C1" s="124" t="s">
        <v>466</v>
      </c>
    </row>
    <row r="2" spans="1:7">
      <c r="A2" t="s">
        <v>498</v>
      </c>
      <c r="B2" t="s">
        <v>499</v>
      </c>
    </row>
    <row r="3" spans="1:7">
      <c r="A3" t="s">
        <v>500</v>
      </c>
      <c r="B3" t="s">
        <v>501</v>
      </c>
    </row>
    <row r="4" spans="1:7">
      <c r="A4" t="s">
        <v>502</v>
      </c>
      <c r="B4" t="s">
        <v>503</v>
      </c>
    </row>
    <row r="5" spans="1:7">
      <c r="A5" t="s">
        <v>504</v>
      </c>
      <c r="B5" t="s">
        <v>505</v>
      </c>
    </row>
    <row r="6" spans="1:7">
      <c r="A6" t="s">
        <v>506</v>
      </c>
      <c r="B6" t="s">
        <v>507</v>
      </c>
    </row>
    <row r="7" spans="1:7">
      <c r="A7" t="s">
        <v>508</v>
      </c>
      <c r="B7" t="s">
        <v>509</v>
      </c>
    </row>
    <row r="8" spans="1:7">
      <c r="A8" t="s">
        <v>510</v>
      </c>
      <c r="B8" t="s">
        <v>511</v>
      </c>
    </row>
    <row r="9" spans="1:7">
      <c r="A9" t="s">
        <v>512</v>
      </c>
      <c r="B9" t="s">
        <v>513</v>
      </c>
    </row>
    <row r="10" spans="1:7">
      <c r="A10" t="s">
        <v>514</v>
      </c>
      <c r="B10" t="s">
        <v>515</v>
      </c>
    </row>
    <row r="11" spans="1:7">
      <c r="A11" t="s">
        <v>516</v>
      </c>
      <c r="B11" t="s">
        <v>517</v>
      </c>
    </row>
    <row r="12" spans="1:7">
      <c r="A12" t="s">
        <v>518</v>
      </c>
      <c r="B12" t="s">
        <v>519</v>
      </c>
    </row>
    <row r="13" spans="1:7">
      <c r="A13" t="s">
        <v>520</v>
      </c>
      <c r="B13" t="s">
        <v>521</v>
      </c>
    </row>
    <row r="14" spans="1:7">
      <c r="A14" t="s">
        <v>522</v>
      </c>
      <c r="B14" t="s">
        <v>523</v>
      </c>
    </row>
    <row r="15" spans="1:7">
      <c r="A15" t="s">
        <v>524</v>
      </c>
      <c r="B15" t="s">
        <v>525</v>
      </c>
      <c r="G15" t="s">
        <v>139</v>
      </c>
    </row>
    <row r="16" spans="1:7">
      <c r="A16" t="s">
        <v>526</v>
      </c>
      <c r="B16" t="s">
        <v>527</v>
      </c>
    </row>
    <row r="17" spans="1:2">
      <c r="A17" t="s">
        <v>528</v>
      </c>
      <c r="B17" t="s">
        <v>529</v>
      </c>
    </row>
    <row r="18" spans="1:2">
      <c r="A18" t="s">
        <v>530</v>
      </c>
      <c r="B18" t="s">
        <v>531</v>
      </c>
    </row>
    <row r="19" spans="1:2">
      <c r="A19" t="s">
        <v>532</v>
      </c>
      <c r="B19" t="s">
        <v>533</v>
      </c>
    </row>
    <row r="20" spans="1:2">
      <c r="A20" t="s">
        <v>534</v>
      </c>
      <c r="B20" t="s">
        <v>535</v>
      </c>
    </row>
    <row r="21" spans="1:2">
      <c r="A21" t="s">
        <v>536</v>
      </c>
      <c r="B21" t="s">
        <v>537</v>
      </c>
    </row>
    <row r="22" spans="1:2">
      <c r="A22" t="s">
        <v>538</v>
      </c>
      <c r="B22" t="s">
        <v>539</v>
      </c>
    </row>
    <row r="23" spans="1:2">
      <c r="A23" t="s">
        <v>540</v>
      </c>
      <c r="B23" t="s">
        <v>541</v>
      </c>
    </row>
    <row r="24" spans="1:2">
      <c r="A24" t="s">
        <v>542</v>
      </c>
      <c r="B24" t="s">
        <v>543</v>
      </c>
    </row>
    <row r="25" spans="1:2">
      <c r="A25" t="s">
        <v>544</v>
      </c>
      <c r="B25" t="s">
        <v>545</v>
      </c>
    </row>
    <row r="26" spans="1:2">
      <c r="A26" t="s">
        <v>546</v>
      </c>
      <c r="B26" t="s">
        <v>547</v>
      </c>
    </row>
    <row r="27" spans="1:2">
      <c r="A27" t="s">
        <v>548</v>
      </c>
      <c r="B27" t="s">
        <v>549</v>
      </c>
    </row>
    <row r="28" spans="1:2">
      <c r="A28" t="s">
        <v>550</v>
      </c>
      <c r="B28" t="s">
        <v>551</v>
      </c>
    </row>
    <row r="29" spans="1:2">
      <c r="A29" t="s">
        <v>552</v>
      </c>
      <c r="B29" t="s">
        <v>553</v>
      </c>
    </row>
    <row r="30" spans="1:2">
      <c r="A30" t="s">
        <v>554</v>
      </c>
      <c r="B30" t="s">
        <v>555</v>
      </c>
    </row>
    <row r="31" spans="1:2">
      <c r="A31" t="s">
        <v>556</v>
      </c>
      <c r="B31" t="s">
        <v>557</v>
      </c>
    </row>
    <row r="32" spans="1:2">
      <c r="A32" t="s">
        <v>558</v>
      </c>
      <c r="B32" t="s">
        <v>559</v>
      </c>
    </row>
    <row r="33" spans="1:2">
      <c r="A33" t="s">
        <v>560</v>
      </c>
      <c r="B33" t="s">
        <v>561</v>
      </c>
    </row>
    <row r="34" spans="1:2">
      <c r="A34" t="s">
        <v>562</v>
      </c>
      <c r="B34" t="s">
        <v>563</v>
      </c>
    </row>
    <row r="35" spans="1:2">
      <c r="A35" t="s">
        <v>564</v>
      </c>
      <c r="B35" t="s">
        <v>565</v>
      </c>
    </row>
    <row r="36" spans="1:2">
      <c r="A36" t="s">
        <v>566</v>
      </c>
      <c r="B36" t="s">
        <v>567</v>
      </c>
    </row>
    <row r="37" spans="1:2">
      <c r="A37" t="s">
        <v>568</v>
      </c>
      <c r="B37" t="s">
        <v>569</v>
      </c>
    </row>
    <row r="38" spans="1:2">
      <c r="A38" t="s">
        <v>570</v>
      </c>
      <c r="B38" t="s">
        <v>571</v>
      </c>
    </row>
    <row r="39" spans="1:2">
      <c r="A39" t="s">
        <v>572</v>
      </c>
      <c r="B39" t="s">
        <v>573</v>
      </c>
    </row>
    <row r="40" spans="1:2">
      <c r="A40" t="s">
        <v>574</v>
      </c>
      <c r="B40" t="s">
        <v>575</v>
      </c>
    </row>
    <row r="41" spans="1:2">
      <c r="A41" t="s">
        <v>576</v>
      </c>
      <c r="B41" t="s">
        <v>577</v>
      </c>
    </row>
    <row r="42" spans="1:2">
      <c r="A42" t="s">
        <v>578</v>
      </c>
      <c r="B42" t="s">
        <v>579</v>
      </c>
    </row>
    <row r="43" spans="1:2">
      <c r="A43" t="s">
        <v>580</v>
      </c>
      <c r="B43" t="s">
        <v>581</v>
      </c>
    </row>
    <row r="44" spans="1:2">
      <c r="A44" t="s">
        <v>582</v>
      </c>
      <c r="B44" t="s">
        <v>583</v>
      </c>
    </row>
    <row r="45" spans="1:2">
      <c r="A45" t="s">
        <v>584</v>
      </c>
      <c r="B45" t="s">
        <v>585</v>
      </c>
    </row>
    <row r="46" spans="1:2">
      <c r="A46" t="s">
        <v>586</v>
      </c>
      <c r="B46" t="s">
        <v>587</v>
      </c>
    </row>
    <row r="47" spans="1:2">
      <c r="A47" t="s">
        <v>588</v>
      </c>
      <c r="B47" t="s">
        <v>589</v>
      </c>
    </row>
    <row r="48" spans="1:2">
      <c r="A48" t="s">
        <v>590</v>
      </c>
      <c r="B48" t="s">
        <v>591</v>
      </c>
    </row>
    <row r="49" spans="1:2">
      <c r="A49" t="s">
        <v>592</v>
      </c>
      <c r="B49" t="s">
        <v>593</v>
      </c>
    </row>
    <row r="50" spans="1:2">
      <c r="A50" t="s">
        <v>594</v>
      </c>
      <c r="B50" t="s">
        <v>595</v>
      </c>
    </row>
    <row r="51" spans="1:2">
      <c r="A51" t="s">
        <v>596</v>
      </c>
      <c r="B51" t="s">
        <v>597</v>
      </c>
    </row>
    <row r="52" spans="1:2">
      <c r="A52" t="s">
        <v>598</v>
      </c>
      <c r="B52" t="s">
        <v>599</v>
      </c>
    </row>
    <row r="53" spans="1:2">
      <c r="A53" t="s">
        <v>600</v>
      </c>
      <c r="B53" t="s">
        <v>601</v>
      </c>
    </row>
    <row r="54" spans="1:2">
      <c r="A54" t="s">
        <v>602</v>
      </c>
      <c r="B54" t="s">
        <v>603</v>
      </c>
    </row>
    <row r="55" spans="1:2">
      <c r="A55" t="s">
        <v>604</v>
      </c>
      <c r="B55" t="s">
        <v>605</v>
      </c>
    </row>
    <row r="56" spans="1:2">
      <c r="A56" t="s">
        <v>606</v>
      </c>
      <c r="B56" t="s">
        <v>607</v>
      </c>
    </row>
    <row r="57" spans="1:2">
      <c r="A57" t="s">
        <v>608</v>
      </c>
      <c r="B57" t="s">
        <v>609</v>
      </c>
    </row>
    <row r="58" spans="1:2">
      <c r="A58" t="s">
        <v>610</v>
      </c>
      <c r="B58" t="s">
        <v>611</v>
      </c>
    </row>
    <row r="59" spans="1:2">
      <c r="A59" t="s">
        <v>612</v>
      </c>
      <c r="B59" t="s">
        <v>613</v>
      </c>
    </row>
    <row r="60" spans="1:2">
      <c r="A60" t="s">
        <v>614</v>
      </c>
      <c r="B60" t="s">
        <v>615</v>
      </c>
    </row>
    <row r="61" spans="1:2">
      <c r="A61" t="s">
        <v>616</v>
      </c>
      <c r="B61" t="s">
        <v>617</v>
      </c>
    </row>
    <row r="62" spans="1:2">
      <c r="A62" t="s">
        <v>618</v>
      </c>
      <c r="B62" t="s">
        <v>619</v>
      </c>
    </row>
    <row r="63" spans="1:2">
      <c r="A63" t="s">
        <v>620</v>
      </c>
      <c r="B63" t="s">
        <v>621</v>
      </c>
    </row>
    <row r="64" spans="1:2">
      <c r="A64" t="s">
        <v>622</v>
      </c>
      <c r="B64" t="s">
        <v>623</v>
      </c>
    </row>
    <row r="65" spans="1:2">
      <c r="A65" t="s">
        <v>624</v>
      </c>
      <c r="B65" t="s">
        <v>625</v>
      </c>
    </row>
    <row r="66" spans="1:2">
      <c r="A66" t="s">
        <v>626</v>
      </c>
      <c r="B66" t="s">
        <v>627</v>
      </c>
    </row>
    <row r="67" spans="1:2">
      <c r="A67" t="s">
        <v>628</v>
      </c>
      <c r="B67" t="s">
        <v>629</v>
      </c>
    </row>
    <row r="68" spans="1:2">
      <c r="A68" t="s">
        <v>630</v>
      </c>
      <c r="B68" t="s">
        <v>631</v>
      </c>
    </row>
    <row r="69" spans="1:2">
      <c r="A69" t="s">
        <v>632</v>
      </c>
      <c r="B69" t="s">
        <v>633</v>
      </c>
    </row>
    <row r="70" spans="1:2">
      <c r="A70" t="s">
        <v>634</v>
      </c>
      <c r="B70" t="s">
        <v>635</v>
      </c>
    </row>
    <row r="71" spans="1:2">
      <c r="A71" t="s">
        <v>636</v>
      </c>
      <c r="B71" t="s">
        <v>637</v>
      </c>
    </row>
    <row r="72" spans="1:2">
      <c r="A72" t="s">
        <v>638</v>
      </c>
      <c r="B72" t="s">
        <v>639</v>
      </c>
    </row>
    <row r="73" spans="1:2">
      <c r="A73" t="s">
        <v>640</v>
      </c>
      <c r="B73" t="s">
        <v>641</v>
      </c>
    </row>
    <row r="74" spans="1:2">
      <c r="A74" t="s">
        <v>642</v>
      </c>
      <c r="B74" t="s">
        <v>643</v>
      </c>
    </row>
    <row r="75" spans="1:2">
      <c r="A75" t="s">
        <v>644</v>
      </c>
      <c r="B75" t="s">
        <v>645</v>
      </c>
    </row>
    <row r="76" spans="1:2">
      <c r="A76" t="s">
        <v>646</v>
      </c>
      <c r="B76" t="s">
        <v>647</v>
      </c>
    </row>
    <row r="77" spans="1:2">
      <c r="A77" t="s">
        <v>648</v>
      </c>
      <c r="B77" t="s">
        <v>649</v>
      </c>
    </row>
    <row r="78" spans="1:2">
      <c r="A78" t="s">
        <v>650</v>
      </c>
      <c r="B78" t="s">
        <v>651</v>
      </c>
    </row>
    <row r="79" spans="1:2">
      <c r="A79" t="s">
        <v>652</v>
      </c>
      <c r="B79" t="s">
        <v>653</v>
      </c>
    </row>
    <row r="80" spans="1:2">
      <c r="A80" t="s">
        <v>654</v>
      </c>
      <c r="B80" t="s">
        <v>655</v>
      </c>
    </row>
    <row r="81" spans="1:2">
      <c r="A81" t="s">
        <v>656</v>
      </c>
      <c r="B81" t="s">
        <v>657</v>
      </c>
    </row>
    <row r="82" spans="1:2">
      <c r="A82" t="s">
        <v>658</v>
      </c>
      <c r="B82" t="s">
        <v>659</v>
      </c>
    </row>
    <row r="83" spans="1:2">
      <c r="A83" t="s">
        <v>660</v>
      </c>
      <c r="B83" t="s">
        <v>661</v>
      </c>
    </row>
    <row r="84" spans="1:2">
      <c r="A84" t="s">
        <v>662</v>
      </c>
      <c r="B84" t="s">
        <v>663</v>
      </c>
    </row>
    <row r="85" spans="1:2">
      <c r="A85" t="s">
        <v>664</v>
      </c>
      <c r="B85" t="s">
        <v>665</v>
      </c>
    </row>
    <row r="86" spans="1:2">
      <c r="A86" t="s">
        <v>666</v>
      </c>
      <c r="B86" t="s">
        <v>667</v>
      </c>
    </row>
    <row r="87" spans="1:2">
      <c r="A87" t="s">
        <v>668</v>
      </c>
      <c r="B87" t="s">
        <v>669</v>
      </c>
    </row>
    <row r="88" spans="1:2">
      <c r="A88" t="s">
        <v>670</v>
      </c>
      <c r="B88" t="s">
        <v>671</v>
      </c>
    </row>
    <row r="89" spans="1:2">
      <c r="A89" t="s">
        <v>672</v>
      </c>
      <c r="B89" t="s">
        <v>673</v>
      </c>
    </row>
    <row r="90" spans="1:2">
      <c r="A90" t="s">
        <v>674</v>
      </c>
      <c r="B90" t="s">
        <v>675</v>
      </c>
    </row>
    <row r="91" spans="1:2">
      <c r="A91" t="s">
        <v>676</v>
      </c>
      <c r="B91" t="s">
        <v>677</v>
      </c>
    </row>
    <row r="92" spans="1:2">
      <c r="A92" t="s">
        <v>678</v>
      </c>
      <c r="B92" t="s">
        <v>679</v>
      </c>
    </row>
    <row r="93" spans="1:2">
      <c r="A93" t="s">
        <v>680</v>
      </c>
      <c r="B93" t="s">
        <v>681</v>
      </c>
    </row>
    <row r="94" spans="1:2">
      <c r="A94" t="s">
        <v>682</v>
      </c>
      <c r="B94" t="s">
        <v>683</v>
      </c>
    </row>
    <row r="95" spans="1:2">
      <c r="A95" t="s">
        <v>684</v>
      </c>
      <c r="B95" t="s">
        <v>685</v>
      </c>
    </row>
    <row r="96" spans="1:2">
      <c r="A96" t="s">
        <v>686</v>
      </c>
      <c r="B96" t="s">
        <v>687</v>
      </c>
    </row>
    <row r="97" spans="1:2">
      <c r="A97" t="s">
        <v>688</v>
      </c>
      <c r="B97" t="s">
        <v>689</v>
      </c>
    </row>
    <row r="98" spans="1:2">
      <c r="A98" t="s">
        <v>690</v>
      </c>
      <c r="B98" t="s">
        <v>691</v>
      </c>
    </row>
    <row r="99" spans="1:2">
      <c r="A99" t="s">
        <v>692</v>
      </c>
      <c r="B99" t="s">
        <v>693</v>
      </c>
    </row>
    <row r="100" spans="1:2">
      <c r="A100" t="s">
        <v>694</v>
      </c>
      <c r="B100" t="s">
        <v>695</v>
      </c>
    </row>
    <row r="101" spans="1:2">
      <c r="A101" t="s">
        <v>696</v>
      </c>
      <c r="B101" t="s">
        <v>697</v>
      </c>
    </row>
    <row r="102" spans="1:2">
      <c r="A102" t="s">
        <v>698</v>
      </c>
      <c r="B102" t="s">
        <v>699</v>
      </c>
    </row>
    <row r="103" spans="1:2">
      <c r="A103" t="s">
        <v>700</v>
      </c>
      <c r="B103" t="s">
        <v>701</v>
      </c>
    </row>
    <row r="104" spans="1:2">
      <c r="A104" t="s">
        <v>702</v>
      </c>
      <c r="B104" t="s">
        <v>703</v>
      </c>
    </row>
    <row r="105" spans="1:2">
      <c r="A105" t="s">
        <v>704</v>
      </c>
      <c r="B105" t="s">
        <v>705</v>
      </c>
    </row>
    <row r="106" spans="1:2">
      <c r="A106" t="s">
        <v>706</v>
      </c>
      <c r="B106" t="s">
        <v>707</v>
      </c>
    </row>
    <row r="107" spans="1:2">
      <c r="A107" t="s">
        <v>708</v>
      </c>
      <c r="B107" t="s">
        <v>709</v>
      </c>
    </row>
    <row r="108" spans="1:2">
      <c r="A108" t="s">
        <v>710</v>
      </c>
      <c r="B108" t="s">
        <v>711</v>
      </c>
    </row>
    <row r="109" spans="1:2">
      <c r="A109" t="s">
        <v>712</v>
      </c>
      <c r="B109" t="s">
        <v>713</v>
      </c>
    </row>
    <row r="110" spans="1:2">
      <c r="A110" t="s">
        <v>714</v>
      </c>
      <c r="B110" t="s">
        <v>715</v>
      </c>
    </row>
    <row r="111" spans="1:2">
      <c r="A111" t="s">
        <v>716</v>
      </c>
      <c r="B111" t="s">
        <v>717</v>
      </c>
    </row>
    <row r="112" spans="1:2">
      <c r="A112" t="s">
        <v>718</v>
      </c>
      <c r="B112" t="s">
        <v>719</v>
      </c>
    </row>
    <row r="113" spans="1:2">
      <c r="A113" t="s">
        <v>720</v>
      </c>
      <c r="B113" t="s">
        <v>721</v>
      </c>
    </row>
    <row r="114" spans="1:2">
      <c r="A114" t="s">
        <v>722</v>
      </c>
      <c r="B114" t="s">
        <v>723</v>
      </c>
    </row>
    <row r="115" spans="1:2">
      <c r="A115" t="s">
        <v>724</v>
      </c>
      <c r="B115" t="s">
        <v>725</v>
      </c>
    </row>
    <row r="116" spans="1:2">
      <c r="A116" t="s">
        <v>726</v>
      </c>
      <c r="B116" t="s">
        <v>727</v>
      </c>
    </row>
    <row r="117" spans="1:2">
      <c r="A117" t="s">
        <v>728</v>
      </c>
      <c r="B117" t="s">
        <v>729</v>
      </c>
    </row>
    <row r="118" spans="1:2">
      <c r="A118" t="s">
        <v>730</v>
      </c>
      <c r="B118" t="s">
        <v>731</v>
      </c>
    </row>
    <row r="119" spans="1:2">
      <c r="A119" t="s">
        <v>732</v>
      </c>
      <c r="B119" t="s">
        <v>733</v>
      </c>
    </row>
    <row r="120" spans="1:2">
      <c r="A120" t="s">
        <v>734</v>
      </c>
      <c r="B120" t="s">
        <v>735</v>
      </c>
    </row>
    <row r="121" spans="1:2">
      <c r="A121" t="s">
        <v>736</v>
      </c>
      <c r="B121" t="s">
        <v>737</v>
      </c>
    </row>
    <row r="122" spans="1:2">
      <c r="A122" t="s">
        <v>738</v>
      </c>
      <c r="B122" t="s">
        <v>739</v>
      </c>
    </row>
    <row r="123" spans="1:2">
      <c r="A123" t="s">
        <v>740</v>
      </c>
      <c r="B123" t="s">
        <v>741</v>
      </c>
    </row>
    <row r="124" spans="1:2">
      <c r="A124" t="s">
        <v>742</v>
      </c>
      <c r="B124" t="s">
        <v>743</v>
      </c>
    </row>
    <row r="125" spans="1:2">
      <c r="A125" t="s">
        <v>744</v>
      </c>
      <c r="B125" t="s">
        <v>745</v>
      </c>
    </row>
    <row r="126" spans="1:2">
      <c r="A126" t="s">
        <v>746</v>
      </c>
      <c r="B126" t="s">
        <v>747</v>
      </c>
    </row>
    <row r="127" spans="1:2">
      <c r="A127" t="s">
        <v>748</v>
      </c>
      <c r="B127" t="s">
        <v>749</v>
      </c>
    </row>
    <row r="128" spans="1:2">
      <c r="A128" t="s">
        <v>750</v>
      </c>
      <c r="B128" t="s">
        <v>751</v>
      </c>
    </row>
    <row r="129" spans="1:2">
      <c r="A129" t="s">
        <v>752</v>
      </c>
      <c r="B129" t="s">
        <v>753</v>
      </c>
    </row>
    <row r="130" spans="1:2">
      <c r="A130" t="s">
        <v>754</v>
      </c>
      <c r="B130" t="s">
        <v>755</v>
      </c>
    </row>
    <row r="131" spans="1:2">
      <c r="A131" t="s">
        <v>756</v>
      </c>
      <c r="B131" t="s">
        <v>757</v>
      </c>
    </row>
    <row r="132" spans="1:2">
      <c r="A132" t="s">
        <v>758</v>
      </c>
      <c r="B132" t="s">
        <v>759</v>
      </c>
    </row>
    <row r="133" spans="1:2">
      <c r="A133" t="s">
        <v>760</v>
      </c>
      <c r="B133" t="s">
        <v>761</v>
      </c>
    </row>
    <row r="134" spans="1:2">
      <c r="A134" t="s">
        <v>762</v>
      </c>
      <c r="B134" t="s">
        <v>763</v>
      </c>
    </row>
    <row r="135" spans="1:2">
      <c r="A135" t="s">
        <v>764</v>
      </c>
      <c r="B135" t="s">
        <v>765</v>
      </c>
    </row>
    <row r="136" spans="1:2">
      <c r="A136" t="s">
        <v>766</v>
      </c>
      <c r="B136" t="s">
        <v>767</v>
      </c>
    </row>
    <row r="137" spans="1:2">
      <c r="A137" t="s">
        <v>768</v>
      </c>
      <c r="B137" t="s">
        <v>769</v>
      </c>
    </row>
    <row r="138" spans="1:2">
      <c r="A138" t="s">
        <v>770</v>
      </c>
      <c r="B138" t="s">
        <v>771</v>
      </c>
    </row>
    <row r="139" spans="1:2">
      <c r="A139" t="s">
        <v>772</v>
      </c>
      <c r="B139" t="s">
        <v>773</v>
      </c>
    </row>
    <row r="140" spans="1:2">
      <c r="A140" t="s">
        <v>774</v>
      </c>
      <c r="B140" t="s">
        <v>775</v>
      </c>
    </row>
    <row r="141" spans="1:2">
      <c r="A141" t="s">
        <v>776</v>
      </c>
      <c r="B141" t="s">
        <v>777</v>
      </c>
    </row>
    <row r="142" spans="1:2">
      <c r="A142" t="s">
        <v>778</v>
      </c>
      <c r="B142" t="s">
        <v>779</v>
      </c>
    </row>
    <row r="143" spans="1:2">
      <c r="A143" t="s">
        <v>780</v>
      </c>
      <c r="B143" t="s">
        <v>781</v>
      </c>
    </row>
    <row r="144" spans="1:2">
      <c r="A144" t="s">
        <v>782</v>
      </c>
      <c r="B144" t="s">
        <v>783</v>
      </c>
    </row>
    <row r="145" spans="1:2">
      <c r="A145" t="s">
        <v>784</v>
      </c>
      <c r="B145" t="s">
        <v>785</v>
      </c>
    </row>
    <row r="146" spans="1:2">
      <c r="A146" t="s">
        <v>786</v>
      </c>
      <c r="B146" t="s">
        <v>787</v>
      </c>
    </row>
    <row r="147" spans="1:2">
      <c r="A147" t="s">
        <v>788</v>
      </c>
      <c r="B147" t="s">
        <v>789</v>
      </c>
    </row>
    <row r="148" spans="1:2">
      <c r="A148" t="s">
        <v>790</v>
      </c>
      <c r="B148" t="s">
        <v>791</v>
      </c>
    </row>
    <row r="149" spans="1:2">
      <c r="A149" t="s">
        <v>792</v>
      </c>
      <c r="B149" t="s">
        <v>793</v>
      </c>
    </row>
    <row r="150" spans="1:2">
      <c r="A150" t="s">
        <v>794</v>
      </c>
      <c r="B150" t="s">
        <v>795</v>
      </c>
    </row>
    <row r="151" spans="1:2">
      <c r="A151" t="s">
        <v>796</v>
      </c>
      <c r="B151" t="s">
        <v>797</v>
      </c>
    </row>
    <row r="152" spans="1:2">
      <c r="A152" t="s">
        <v>798</v>
      </c>
      <c r="B152" t="s">
        <v>799</v>
      </c>
    </row>
    <row r="153" spans="1:2">
      <c r="A153" t="s">
        <v>800</v>
      </c>
      <c r="B153" t="s">
        <v>801</v>
      </c>
    </row>
    <row r="154" spans="1:2">
      <c r="A154" t="s">
        <v>802</v>
      </c>
      <c r="B154" t="s">
        <v>803</v>
      </c>
    </row>
    <row r="155" spans="1:2">
      <c r="A155" t="s">
        <v>804</v>
      </c>
      <c r="B155" t="s">
        <v>805</v>
      </c>
    </row>
    <row r="156" spans="1:2">
      <c r="A156" t="s">
        <v>806</v>
      </c>
      <c r="B156" t="s">
        <v>807</v>
      </c>
    </row>
    <row r="157" spans="1:2">
      <c r="A157" t="s">
        <v>808</v>
      </c>
      <c r="B157" t="s">
        <v>809</v>
      </c>
    </row>
    <row r="158" spans="1:2">
      <c r="A158" t="s">
        <v>810</v>
      </c>
      <c r="B158" t="s">
        <v>811</v>
      </c>
    </row>
    <row r="159" spans="1:2">
      <c r="A159" t="s">
        <v>812</v>
      </c>
      <c r="B159" t="s">
        <v>813</v>
      </c>
    </row>
    <row r="160" spans="1:2">
      <c r="A160" t="s">
        <v>814</v>
      </c>
      <c r="B160" t="s">
        <v>815</v>
      </c>
    </row>
    <row r="161" spans="1:2">
      <c r="A161" t="s">
        <v>816</v>
      </c>
      <c r="B161" t="s">
        <v>817</v>
      </c>
    </row>
    <row r="162" spans="1:2">
      <c r="A162" t="s">
        <v>818</v>
      </c>
      <c r="B162" t="s">
        <v>819</v>
      </c>
    </row>
    <row r="163" spans="1:2">
      <c r="A163" t="s">
        <v>820</v>
      </c>
      <c r="B163" t="s">
        <v>821</v>
      </c>
    </row>
    <row r="164" spans="1:2">
      <c r="A164" t="s">
        <v>822</v>
      </c>
      <c r="B164" t="s">
        <v>823</v>
      </c>
    </row>
    <row r="165" spans="1:2">
      <c r="A165" t="s">
        <v>824</v>
      </c>
      <c r="B165" t="s">
        <v>825</v>
      </c>
    </row>
    <row r="166" spans="1:2">
      <c r="A166" t="s">
        <v>826</v>
      </c>
      <c r="B166" t="s">
        <v>827</v>
      </c>
    </row>
    <row r="167" spans="1:2">
      <c r="A167" t="s">
        <v>828</v>
      </c>
      <c r="B167" t="s">
        <v>829</v>
      </c>
    </row>
    <row r="168" spans="1:2">
      <c r="A168" t="s">
        <v>830</v>
      </c>
      <c r="B168" t="s">
        <v>831</v>
      </c>
    </row>
    <row r="169" spans="1:2">
      <c r="A169" t="s">
        <v>832</v>
      </c>
      <c r="B169" t="s">
        <v>833</v>
      </c>
    </row>
    <row r="170" spans="1:2">
      <c r="A170" t="s">
        <v>834</v>
      </c>
      <c r="B170" t="s">
        <v>835</v>
      </c>
    </row>
    <row r="171" spans="1:2">
      <c r="A171" t="s">
        <v>836</v>
      </c>
      <c r="B171" t="s">
        <v>837</v>
      </c>
    </row>
    <row r="172" spans="1:2">
      <c r="A172" t="s">
        <v>838</v>
      </c>
      <c r="B172" t="s">
        <v>839</v>
      </c>
    </row>
    <row r="173" spans="1:2">
      <c r="A173" t="s">
        <v>840</v>
      </c>
      <c r="B173" t="s">
        <v>841</v>
      </c>
    </row>
    <row r="174" spans="1:2">
      <c r="A174" t="s">
        <v>842</v>
      </c>
      <c r="B174" t="s">
        <v>843</v>
      </c>
    </row>
    <row r="175" spans="1:2">
      <c r="A175" t="s">
        <v>844</v>
      </c>
      <c r="B175" t="s">
        <v>845</v>
      </c>
    </row>
    <row r="176" spans="1:2">
      <c r="A176" t="s">
        <v>846</v>
      </c>
      <c r="B176" t="s">
        <v>847</v>
      </c>
    </row>
    <row r="177" spans="1:2">
      <c r="A177" t="s">
        <v>848</v>
      </c>
      <c r="B177" t="s">
        <v>849</v>
      </c>
    </row>
    <row r="178" spans="1:2">
      <c r="A178" t="s">
        <v>850</v>
      </c>
      <c r="B178" t="s">
        <v>851</v>
      </c>
    </row>
    <row r="179" spans="1:2">
      <c r="A179" t="s">
        <v>852</v>
      </c>
      <c r="B179" t="s">
        <v>853</v>
      </c>
    </row>
  </sheetData>
  <hyperlinks>
    <hyperlink ref="C1" location="Indice!A1" display="Índice" xr:uid="{00000000-0004-0000-33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07"/>
  <sheetViews>
    <sheetView topLeftCell="A172" zoomScale="115" zoomScaleNormal="115" workbookViewId="0">
      <selection activeCell="F175" sqref="F175"/>
    </sheetView>
  </sheetViews>
  <sheetFormatPr baseColWidth="10" defaultRowHeight="15"/>
  <cols>
    <col min="5" max="5" width="13.7109375" bestFit="1" customWidth="1"/>
    <col min="6" max="7" width="19" bestFit="1" customWidth="1"/>
    <col min="8" max="8" width="15" style="502" bestFit="1" customWidth="1"/>
    <col min="9" max="9" width="15" bestFit="1" customWidth="1"/>
    <col min="10" max="10" width="14.85546875" customWidth="1"/>
    <col min="11" max="11" width="12.140625" bestFit="1" customWidth="1"/>
  </cols>
  <sheetData>
    <row r="1" spans="1:10">
      <c r="A1" s="511"/>
      <c r="B1" s="512"/>
      <c r="C1" s="512"/>
      <c r="D1" s="512"/>
      <c r="E1" s="512"/>
      <c r="F1" s="512"/>
      <c r="G1" s="512"/>
    </row>
    <row r="2" spans="1:10">
      <c r="A2" s="511" t="s">
        <v>1025</v>
      </c>
      <c r="B2" s="512"/>
      <c r="C2" s="512"/>
      <c r="D2" s="512"/>
      <c r="E2" s="512"/>
      <c r="F2" s="512"/>
      <c r="G2" s="512"/>
    </row>
    <row r="3" spans="1:10">
      <c r="A3" s="513"/>
      <c r="B3" s="513"/>
      <c r="C3" s="513"/>
      <c r="D3" s="513"/>
      <c r="E3" s="513"/>
      <c r="F3" s="513"/>
      <c r="G3" s="513"/>
    </row>
    <row r="4" spans="1:10" ht="15.75">
      <c r="A4" s="513"/>
      <c r="B4" s="514" t="s">
        <v>1026</v>
      </c>
      <c r="C4" s="515" t="s">
        <v>1027</v>
      </c>
      <c r="D4" s="513"/>
      <c r="E4" s="513"/>
      <c r="F4" s="513"/>
      <c r="G4" s="513"/>
    </row>
    <row r="5" spans="1:10">
      <c r="A5" s="513"/>
      <c r="B5" s="513"/>
      <c r="C5" s="513"/>
      <c r="D5" s="513"/>
      <c r="E5" s="513"/>
      <c r="F5" s="513"/>
      <c r="G5" s="513"/>
    </row>
    <row r="6" spans="1:10">
      <c r="A6" s="513" t="s">
        <v>1028</v>
      </c>
      <c r="B6" s="511" t="s">
        <v>1029</v>
      </c>
      <c r="C6" s="511"/>
      <c r="D6" s="512"/>
      <c r="E6" s="512"/>
      <c r="F6" s="513">
        <v>2024</v>
      </c>
      <c r="G6" s="513">
        <v>2023</v>
      </c>
      <c r="I6" s="523">
        <v>2023</v>
      </c>
    </row>
    <row r="7" spans="1:10">
      <c r="A7" s="516"/>
      <c r="B7" s="512"/>
      <c r="C7" s="512"/>
      <c r="D7" s="512"/>
      <c r="E7" s="512"/>
      <c r="F7" s="512"/>
      <c r="G7" s="512"/>
    </row>
    <row r="8" spans="1:10">
      <c r="A8" s="516"/>
      <c r="B8" s="512" t="s">
        <v>1030</v>
      </c>
      <c r="C8" s="512"/>
      <c r="D8" s="512"/>
      <c r="E8" s="512"/>
      <c r="F8" s="637">
        <f>+G10</f>
        <v>1242783009</v>
      </c>
      <c r="G8" s="639">
        <f>+'3 años'!H16</f>
        <v>4609338321</v>
      </c>
      <c r="I8" s="523">
        <v>4609338321</v>
      </c>
      <c r="J8" s="523">
        <f>+G8-I8</f>
        <v>0</v>
      </c>
    </row>
    <row r="9" spans="1:10">
      <c r="A9" s="516"/>
      <c r="B9" s="512" t="s">
        <v>1031</v>
      </c>
      <c r="C9" s="512"/>
      <c r="D9" s="512"/>
      <c r="E9" s="512"/>
      <c r="F9" s="528">
        <f>+'Nota 25'!B26</f>
        <v>7317910678</v>
      </c>
      <c r="G9" s="512">
        <f>+'Nota 25'!C26</f>
        <v>7033615079</v>
      </c>
      <c r="I9" s="523">
        <v>7033615079</v>
      </c>
      <c r="J9" s="523">
        <f t="shared" ref="J9:J12" si="0">+G9-I9</f>
        <v>0</v>
      </c>
    </row>
    <row r="10" spans="1:10">
      <c r="A10" s="516"/>
      <c r="B10" s="512" t="s">
        <v>1032</v>
      </c>
      <c r="C10" s="512"/>
      <c r="D10" s="512"/>
      <c r="E10" s="512"/>
      <c r="F10" s="632">
        <f>+BG!F16</f>
        <v>946967375</v>
      </c>
      <c r="G10" s="637">
        <f>+'3 años'!G16</f>
        <v>1242783009</v>
      </c>
      <c r="I10" s="523">
        <v>1242783009</v>
      </c>
      <c r="J10" s="523">
        <f t="shared" si="0"/>
        <v>0</v>
      </c>
    </row>
    <row r="11" spans="1:10">
      <c r="A11" s="516"/>
      <c r="B11" s="512"/>
      <c r="C11" s="512"/>
      <c r="D11" s="512"/>
      <c r="E11" s="512"/>
      <c r="F11" s="512" t="s">
        <v>1033</v>
      </c>
      <c r="G11" s="512" t="s">
        <v>1033</v>
      </c>
      <c r="I11" t="s">
        <v>1033</v>
      </c>
      <c r="J11" s="523"/>
    </row>
    <row r="12" spans="1:10">
      <c r="A12" s="512"/>
      <c r="B12" s="512" t="s">
        <v>1034</v>
      </c>
      <c r="C12" s="512"/>
      <c r="D12" s="512"/>
      <c r="E12" s="512"/>
      <c r="F12" s="529">
        <f>F8+F9-F10</f>
        <v>7613726312</v>
      </c>
      <c r="G12" s="529">
        <f>G8+G9-G10</f>
        <v>10400170391</v>
      </c>
      <c r="I12" s="523">
        <v>10400170391</v>
      </c>
      <c r="J12" s="523">
        <f t="shared" si="0"/>
        <v>0</v>
      </c>
    </row>
    <row r="13" spans="1:10">
      <c r="A13" s="512"/>
      <c r="B13" s="512"/>
      <c r="C13" s="512"/>
      <c r="D13" s="512"/>
      <c r="E13" s="512"/>
      <c r="F13" s="512" t="s">
        <v>1035</v>
      </c>
      <c r="G13" s="512" t="s">
        <v>1035</v>
      </c>
      <c r="I13" t="s">
        <v>1035</v>
      </c>
      <c r="J13" s="523"/>
    </row>
    <row r="14" spans="1:10">
      <c r="A14" s="511"/>
      <c r="B14" s="512"/>
      <c r="C14" s="512"/>
      <c r="D14" s="512"/>
      <c r="E14" s="512"/>
      <c r="F14" s="512"/>
      <c r="G14" s="512"/>
    </row>
    <row r="15" spans="1:10">
      <c r="A15" s="513" t="s">
        <v>1036</v>
      </c>
      <c r="B15" s="511" t="s">
        <v>1037</v>
      </c>
      <c r="C15" s="512"/>
      <c r="D15" s="512"/>
      <c r="E15" s="512"/>
      <c r="F15" s="512"/>
      <c r="G15" s="512"/>
    </row>
    <row r="16" spans="1:10">
      <c r="A16" s="512"/>
      <c r="B16" s="512"/>
      <c r="C16" s="512"/>
      <c r="D16" s="512"/>
      <c r="E16" s="512"/>
      <c r="F16" s="512"/>
      <c r="G16" s="512"/>
    </row>
    <row r="17" spans="1:10">
      <c r="A17" s="512"/>
      <c r="B17" s="512" t="s">
        <v>1038</v>
      </c>
      <c r="C17" s="512"/>
      <c r="D17" s="512"/>
      <c r="E17" s="512"/>
      <c r="F17" s="632">
        <f>+BG!F18</f>
        <v>17387498725</v>
      </c>
      <c r="G17" s="637">
        <f>+'3 años'!G18</f>
        <v>17068317427</v>
      </c>
      <c r="H17" s="512">
        <f>+'3 años'!H18</f>
        <v>14994903716</v>
      </c>
      <c r="I17" s="523">
        <v>17068317427</v>
      </c>
      <c r="J17" s="523">
        <f>+G17-I17</f>
        <v>0</v>
      </c>
    </row>
    <row r="18" spans="1:10">
      <c r="A18" s="512"/>
      <c r="B18" s="512" t="s">
        <v>1039</v>
      </c>
      <c r="C18" s="512"/>
      <c r="D18" s="512"/>
      <c r="E18" s="512"/>
      <c r="F18" s="528">
        <f>-ER!C14</f>
        <v>3757065204</v>
      </c>
      <c r="G18" s="512">
        <f>-ER!D14</f>
        <v>3184864209</v>
      </c>
      <c r="I18" s="523">
        <v>3184864209</v>
      </c>
      <c r="J18" s="523">
        <f t="shared" ref="J18:J21" si="1">+G18-I18</f>
        <v>0</v>
      </c>
    </row>
    <row r="19" spans="1:10">
      <c r="A19" s="512"/>
      <c r="B19" s="512" t="s">
        <v>1040</v>
      </c>
      <c r="C19" s="512"/>
      <c r="D19" s="512"/>
      <c r="E19" s="512"/>
      <c r="F19" s="637">
        <f>+G17</f>
        <v>17068317427</v>
      </c>
      <c r="G19" s="639">
        <f>+'3 años'!H18</f>
        <v>14994903716</v>
      </c>
      <c r="I19" s="523">
        <v>14994903716</v>
      </c>
      <c r="J19" s="523">
        <f t="shared" si="1"/>
        <v>0</v>
      </c>
    </row>
    <row r="20" spans="1:10">
      <c r="A20" s="512"/>
      <c r="B20" s="512"/>
      <c r="C20" s="512"/>
      <c r="D20" s="512"/>
      <c r="E20" s="512"/>
      <c r="F20" s="512" t="s">
        <v>1033</v>
      </c>
      <c r="G20" s="512" t="s">
        <v>1033</v>
      </c>
      <c r="I20" t="s">
        <v>1033</v>
      </c>
      <c r="J20" s="523"/>
    </row>
    <row r="21" spans="1:10">
      <c r="A21" s="512"/>
      <c r="B21" s="512" t="s">
        <v>1041</v>
      </c>
      <c r="C21" s="512"/>
      <c r="D21" s="512"/>
      <c r="E21" s="512"/>
      <c r="F21" s="526">
        <f>F17+F18-F19</f>
        <v>4076246502</v>
      </c>
      <c r="G21" s="526">
        <f>G17+G18-G19</f>
        <v>5258277920</v>
      </c>
      <c r="I21" s="523">
        <v>5258277920</v>
      </c>
      <c r="J21" s="523">
        <f t="shared" si="1"/>
        <v>0</v>
      </c>
    </row>
    <row r="22" spans="1:10">
      <c r="A22" s="512"/>
      <c r="B22" s="512"/>
      <c r="C22" s="512"/>
      <c r="D22" s="512"/>
      <c r="E22" s="512"/>
      <c r="F22" s="512" t="s">
        <v>1035</v>
      </c>
      <c r="G22" s="512" t="s">
        <v>1035</v>
      </c>
      <c r="I22" t="s">
        <v>1035</v>
      </c>
    </row>
    <row r="23" spans="1:10">
      <c r="A23" s="512"/>
      <c r="B23" s="512"/>
      <c r="C23" s="512"/>
      <c r="D23" s="512"/>
      <c r="E23" s="512"/>
      <c r="F23" s="512"/>
      <c r="G23" s="512"/>
    </row>
    <row r="24" spans="1:10">
      <c r="A24" s="513" t="s">
        <v>1042</v>
      </c>
      <c r="B24" s="512" t="s">
        <v>1165</v>
      </c>
      <c r="C24" s="512"/>
      <c r="D24" s="512"/>
      <c r="E24" s="512"/>
      <c r="F24" s="580">
        <f>+G26</f>
        <v>3358321624</v>
      </c>
      <c r="G24" s="642">
        <f>+'3 años'!H32</f>
        <v>5713906583</v>
      </c>
      <c r="H24" s="642">
        <f>+'3 años'!I32</f>
        <v>5713906583</v>
      </c>
      <c r="I24" s="523">
        <v>5713906583</v>
      </c>
      <c r="J24" s="523">
        <f t="shared" ref="J24:J26" si="2">+G24-I24</f>
        <v>0</v>
      </c>
    </row>
    <row r="25" spans="1:10">
      <c r="A25" s="512"/>
      <c r="B25" s="512" t="s">
        <v>1043</v>
      </c>
      <c r="C25" s="512"/>
      <c r="D25" s="512"/>
      <c r="E25" s="512"/>
      <c r="F25" s="512">
        <f>F21</f>
        <v>4076246502</v>
      </c>
      <c r="G25" s="512">
        <f>G21</f>
        <v>5258277920</v>
      </c>
      <c r="I25" s="523">
        <v>5258277920</v>
      </c>
      <c r="J25" s="523">
        <f t="shared" si="2"/>
        <v>0</v>
      </c>
    </row>
    <row r="26" spans="1:10">
      <c r="A26" s="512"/>
      <c r="B26" s="512" t="s">
        <v>1166</v>
      </c>
      <c r="C26" s="512"/>
      <c r="D26" s="512"/>
      <c r="E26" s="512"/>
      <c r="F26" s="634">
        <f>+BG!F32</f>
        <v>2644381490</v>
      </c>
      <c r="G26" s="512">
        <f>+'3 años'!G32</f>
        <v>3358321624</v>
      </c>
      <c r="I26" s="523">
        <v>3358321624</v>
      </c>
      <c r="J26" s="523">
        <f t="shared" si="2"/>
        <v>0</v>
      </c>
    </row>
    <row r="27" spans="1:10">
      <c r="A27" s="512"/>
      <c r="B27" s="512"/>
      <c r="C27" s="512"/>
      <c r="D27" s="512"/>
      <c r="E27" s="512"/>
      <c r="F27" s="512" t="s">
        <v>1033</v>
      </c>
      <c r="G27" s="512" t="s">
        <v>1033</v>
      </c>
      <c r="I27" t="s">
        <v>1033</v>
      </c>
    </row>
    <row r="28" spans="1:10">
      <c r="A28" s="512"/>
      <c r="B28" s="512" t="s">
        <v>1167</v>
      </c>
      <c r="C28" s="512"/>
      <c r="D28" s="512"/>
      <c r="E28" s="512"/>
      <c r="F28" s="530">
        <f>F24+F25-F26</f>
        <v>4790186636</v>
      </c>
      <c r="G28" s="530">
        <f>G24+G25-G26</f>
        <v>7613862879</v>
      </c>
      <c r="I28" s="523">
        <v>7613862879</v>
      </c>
    </row>
    <row r="29" spans="1:10">
      <c r="A29" s="512"/>
      <c r="B29" s="512"/>
      <c r="C29" s="512"/>
      <c r="D29" s="512"/>
      <c r="E29" s="512"/>
      <c r="F29" s="512" t="s">
        <v>1035</v>
      </c>
      <c r="G29" s="512" t="s">
        <v>1035</v>
      </c>
      <c r="I29" t="s">
        <v>1035</v>
      </c>
    </row>
    <row r="30" spans="1:10">
      <c r="A30" s="512"/>
      <c r="B30" s="512"/>
      <c r="C30" s="512"/>
      <c r="D30" s="512"/>
      <c r="E30" s="512"/>
      <c r="F30" s="512"/>
      <c r="G30" s="512"/>
    </row>
    <row r="31" spans="1:10">
      <c r="A31" s="513" t="s">
        <v>1044</v>
      </c>
      <c r="B31" s="512" t="s">
        <v>1045</v>
      </c>
      <c r="C31" s="512"/>
      <c r="D31" s="512"/>
      <c r="E31" s="512"/>
      <c r="F31" s="512">
        <v>0</v>
      </c>
      <c r="G31" s="512">
        <v>0</v>
      </c>
      <c r="I31">
        <v>0</v>
      </c>
    </row>
    <row r="32" spans="1:10">
      <c r="A32" s="512"/>
      <c r="B32" s="512" t="s">
        <v>1043</v>
      </c>
      <c r="C32" s="512"/>
      <c r="D32" s="512"/>
      <c r="E32" s="512"/>
      <c r="F32" s="512">
        <v>0</v>
      </c>
      <c r="G32" s="512">
        <v>0</v>
      </c>
      <c r="I32">
        <v>0</v>
      </c>
    </row>
    <row r="33" spans="1:10">
      <c r="A33" s="512"/>
      <c r="B33" s="512" t="s">
        <v>1046</v>
      </c>
      <c r="C33" s="512"/>
      <c r="D33" s="512"/>
      <c r="E33" s="512"/>
      <c r="F33" s="512">
        <v>0</v>
      </c>
      <c r="G33" s="512">
        <v>0</v>
      </c>
      <c r="I33">
        <v>0</v>
      </c>
    </row>
    <row r="34" spans="1:10">
      <c r="A34" s="512"/>
      <c r="B34" s="512"/>
      <c r="C34" s="512"/>
      <c r="D34" s="512"/>
      <c r="E34" s="512"/>
      <c r="F34" s="512" t="s">
        <v>1033</v>
      </c>
      <c r="G34" s="512" t="s">
        <v>1033</v>
      </c>
      <c r="I34" t="s">
        <v>1033</v>
      </c>
    </row>
    <row r="35" spans="1:10">
      <c r="A35" s="512"/>
      <c r="B35" s="512" t="s">
        <v>1047</v>
      </c>
      <c r="C35" s="512"/>
      <c r="D35" s="512"/>
      <c r="E35" s="512"/>
      <c r="F35" s="517">
        <f>F31+F32-F33</f>
        <v>0</v>
      </c>
      <c r="G35" s="517">
        <f>G31+G32-G33</f>
        <v>0</v>
      </c>
      <c r="I35">
        <v>0</v>
      </c>
    </row>
    <row r="36" spans="1:10">
      <c r="A36" s="512"/>
      <c r="B36" s="512"/>
      <c r="C36" s="512"/>
      <c r="D36" s="512"/>
      <c r="E36" s="512"/>
      <c r="F36" s="512" t="s">
        <v>1035</v>
      </c>
      <c r="G36" s="512" t="s">
        <v>1035</v>
      </c>
      <c r="I36" t="s">
        <v>1035</v>
      </c>
    </row>
    <row r="37" spans="1:10">
      <c r="A37" s="512"/>
      <c r="B37" s="512"/>
      <c r="C37" s="512"/>
      <c r="D37" s="512"/>
      <c r="E37" s="512"/>
      <c r="F37" s="512"/>
      <c r="G37" s="512"/>
    </row>
    <row r="38" spans="1:10">
      <c r="A38" s="513" t="s">
        <v>1048</v>
      </c>
      <c r="B38" s="511" t="s">
        <v>1049</v>
      </c>
      <c r="C38" s="512"/>
      <c r="D38" s="512"/>
      <c r="E38" s="512"/>
      <c r="F38" s="512"/>
      <c r="G38" s="512"/>
    </row>
    <row r="39" spans="1:10">
      <c r="A39" s="512"/>
      <c r="B39" s="512"/>
      <c r="C39" s="512"/>
      <c r="D39" s="512"/>
      <c r="E39" s="512"/>
      <c r="F39" s="512"/>
      <c r="G39" s="512"/>
    </row>
    <row r="40" spans="1:10">
      <c r="A40" s="512"/>
      <c r="B40" s="512" t="s">
        <v>1050</v>
      </c>
      <c r="C40" s="512"/>
      <c r="D40" s="512"/>
      <c r="E40" s="512"/>
      <c r="F40" s="630">
        <f>+'Nota 27'!D50+'Nota 28'!F12</f>
        <v>615793561</v>
      </c>
      <c r="G40" s="512">
        <f>+'Nota 27'!H50+'Nota 28'!G12</f>
        <v>707806881</v>
      </c>
      <c r="I40" s="523">
        <v>707806881</v>
      </c>
      <c r="J40" s="523">
        <f t="shared" ref="J40:J44" si="3">+G40-I40</f>
        <v>0</v>
      </c>
    </row>
    <row r="41" spans="1:10">
      <c r="A41" s="512"/>
      <c r="B41" s="512" t="s">
        <v>416</v>
      </c>
      <c r="C41" s="512"/>
      <c r="D41" s="512"/>
      <c r="E41" s="512"/>
      <c r="F41" s="631">
        <f>+'Nota 27'!B50-'Nota 27'!B25-'Nota 27'!B26</f>
        <v>446489701</v>
      </c>
      <c r="G41" s="512">
        <f>+'Nota 27'!F50-'Nota 27'!F25-'Nota 27'!F26</f>
        <v>309978766</v>
      </c>
      <c r="I41" s="523">
        <v>309978766</v>
      </c>
      <c r="J41" s="523">
        <f t="shared" si="3"/>
        <v>0</v>
      </c>
    </row>
    <row r="42" spans="1:10">
      <c r="A42" s="511"/>
      <c r="B42" s="512" t="s">
        <v>1051</v>
      </c>
      <c r="C42" s="512"/>
      <c r="D42" s="512"/>
      <c r="E42" s="512"/>
      <c r="F42" s="631">
        <f>+'Nota 27'!C50-'Nota 27'!C25-'Nota 27'!C28-'Nota 27'!C29-'Nota 27'!C30-'Nota 27'!C31-'Nota 27'!C32</f>
        <v>1012357354</v>
      </c>
      <c r="G42" s="512">
        <f>+'Nota 27'!G50-'Nota 27'!G25-'Nota 27'!G28-'Nota 27'!G29-'Nota 27'!G30-'Nota 27'!G31-'Nota 27'!G32</f>
        <v>906742501</v>
      </c>
      <c r="I42" s="523">
        <v>906742501</v>
      </c>
      <c r="J42" s="523">
        <f t="shared" si="3"/>
        <v>0</v>
      </c>
    </row>
    <row r="43" spans="1:10">
      <c r="A43" s="512"/>
      <c r="B43" s="518" t="s">
        <v>1052</v>
      </c>
      <c r="C43" s="512"/>
      <c r="D43" s="512"/>
      <c r="E43" s="512"/>
      <c r="F43" s="539">
        <f>+'3 años'!G37+'3 años'!G38+'3 años'!G42-F182</f>
        <v>1339462298</v>
      </c>
      <c r="G43" s="642">
        <f>+'3 años'!H37+'3 años'!H38+'3 años'!H42-G182</f>
        <v>121129660</v>
      </c>
      <c r="I43" s="523">
        <v>121129660</v>
      </c>
      <c r="J43" s="523">
        <f t="shared" si="3"/>
        <v>0</v>
      </c>
    </row>
    <row r="44" spans="1:10">
      <c r="A44" s="512"/>
      <c r="B44" s="518" t="s">
        <v>1053</v>
      </c>
      <c r="C44" s="512"/>
      <c r="D44" s="512"/>
      <c r="E44" s="512"/>
      <c r="F44" s="634">
        <f>+'3 años'!F37+'3 años'!F38+'3 años'!F42-'Calc.Aux.'!F176</f>
        <v>1697455767</v>
      </c>
      <c r="G44" s="580">
        <f>+'3 años'!G37+'3 años'!G38+'3 años'!G42-'Calc.Aux.'!G176</f>
        <v>1339462298</v>
      </c>
      <c r="I44" s="523">
        <v>1339462298</v>
      </c>
      <c r="J44" s="523">
        <f t="shared" si="3"/>
        <v>0</v>
      </c>
    </row>
    <row r="45" spans="1:10">
      <c r="A45" s="512"/>
      <c r="B45" s="512"/>
      <c r="C45" s="512"/>
      <c r="D45" s="512"/>
      <c r="E45" s="512"/>
      <c r="F45" s="512" t="s">
        <v>1033</v>
      </c>
      <c r="G45" s="512" t="s">
        <v>1033</v>
      </c>
      <c r="I45" t="s">
        <v>1033</v>
      </c>
    </row>
    <row r="46" spans="1:10">
      <c r="A46" s="512"/>
      <c r="B46" s="512" t="s">
        <v>1054</v>
      </c>
      <c r="C46" s="512"/>
      <c r="D46" s="512"/>
      <c r="E46" s="512"/>
      <c r="F46" s="530">
        <f>F40+F41+F42+F43-F44</f>
        <v>1716647147</v>
      </c>
      <c r="G46" s="530">
        <f>G40+G41+G42+G43-G44</f>
        <v>706195510</v>
      </c>
      <c r="I46" s="523">
        <v>706195510</v>
      </c>
    </row>
    <row r="47" spans="1:10">
      <c r="A47" s="512"/>
      <c r="B47" s="512"/>
      <c r="C47" s="512"/>
      <c r="D47" s="512"/>
      <c r="E47" s="512"/>
      <c r="F47" s="512" t="s">
        <v>1035</v>
      </c>
      <c r="G47" s="512" t="s">
        <v>1035</v>
      </c>
      <c r="I47" t="s">
        <v>1035</v>
      </c>
    </row>
    <row r="48" spans="1:10">
      <c r="A48" s="512"/>
      <c r="B48" s="512"/>
      <c r="C48" s="512"/>
      <c r="D48" s="512"/>
      <c r="E48" s="512"/>
      <c r="F48" s="512"/>
      <c r="G48" s="512"/>
    </row>
    <row r="49" spans="1:9">
      <c r="A49" s="513" t="s">
        <v>1055</v>
      </c>
      <c r="B49" s="511" t="s">
        <v>1056</v>
      </c>
      <c r="C49" s="512"/>
      <c r="D49" s="512"/>
      <c r="E49" s="512"/>
      <c r="F49" s="512"/>
      <c r="G49" s="512"/>
    </row>
    <row r="50" spans="1:9">
      <c r="A50" s="512"/>
      <c r="B50" s="512"/>
      <c r="C50" s="512"/>
      <c r="D50" s="512"/>
      <c r="E50" s="512"/>
      <c r="F50" s="512"/>
      <c r="G50" s="512"/>
    </row>
    <row r="51" spans="1:9">
      <c r="A51" s="512"/>
      <c r="B51" s="512" t="s">
        <v>1057</v>
      </c>
      <c r="C51" s="512"/>
      <c r="D51" s="512"/>
      <c r="E51" s="512"/>
      <c r="F51" s="512"/>
      <c r="G51" s="512"/>
    </row>
    <row r="52" spans="1:9">
      <c r="A52" s="512"/>
      <c r="B52" s="512"/>
      <c r="C52" s="512"/>
      <c r="D52" s="512"/>
      <c r="E52" s="512"/>
      <c r="F52" s="512"/>
      <c r="G52" s="512"/>
    </row>
    <row r="53" spans="1:9">
      <c r="A53" s="512"/>
      <c r="B53" s="512" t="s">
        <v>1058</v>
      </c>
      <c r="C53" s="512"/>
      <c r="D53" s="512"/>
      <c r="E53" s="512"/>
      <c r="F53" s="512">
        <f>+G55</f>
        <v>64956366</v>
      </c>
      <c r="G53" s="642">
        <f>+'3 años'!H35</f>
        <v>65969765</v>
      </c>
      <c r="I53" s="523">
        <v>65969765</v>
      </c>
    </row>
    <row r="54" spans="1:9">
      <c r="A54" s="512"/>
      <c r="B54" s="512" t="s">
        <v>1059</v>
      </c>
      <c r="C54" s="512"/>
      <c r="D54" s="512"/>
      <c r="E54" s="512"/>
      <c r="F54" s="631">
        <f>'Nota 27'!B50+'Nota 27'!C50-'Calc.Aux.'!F41-'Calc.Aux.'!F42</f>
        <v>893391842</v>
      </c>
      <c r="G54" s="540">
        <f>'Nota 27'!F50+'Nota 27'!G50-'Calc.Aux.'!G41-'Calc.Aux.'!G42</f>
        <v>750014572</v>
      </c>
      <c r="I54" s="523">
        <v>750014572</v>
      </c>
    </row>
    <row r="55" spans="1:9">
      <c r="A55" s="512"/>
      <c r="B55" s="512" t="s">
        <v>1060</v>
      </c>
      <c r="C55" s="512"/>
      <c r="D55" s="512"/>
      <c r="E55" s="512"/>
      <c r="F55" s="634">
        <f>+'Nota 16'!B8</f>
        <v>59202877</v>
      </c>
      <c r="G55" s="571">
        <f>+'3 años'!G35</f>
        <v>64956366</v>
      </c>
      <c r="I55" s="523">
        <v>64956366</v>
      </c>
    </row>
    <row r="56" spans="1:9">
      <c r="A56" s="512"/>
      <c r="B56" s="512"/>
      <c r="C56" s="512"/>
      <c r="D56" s="512"/>
      <c r="E56" s="512"/>
      <c r="F56" s="512" t="s">
        <v>1033</v>
      </c>
      <c r="G56" s="512" t="s">
        <v>1033</v>
      </c>
      <c r="I56" t="s">
        <v>1033</v>
      </c>
    </row>
    <row r="57" spans="1:9">
      <c r="A57" s="512"/>
      <c r="B57" s="512" t="s">
        <v>1061</v>
      </c>
      <c r="C57" s="512"/>
      <c r="D57" s="512"/>
      <c r="E57" s="512"/>
      <c r="F57" s="531">
        <f>F53+F54-F55</f>
        <v>899145331</v>
      </c>
      <c r="G57" s="531">
        <f>G53+G54-G55</f>
        <v>751027971</v>
      </c>
      <c r="I57" s="523">
        <v>751027971</v>
      </c>
    </row>
    <row r="58" spans="1:9">
      <c r="A58" s="512"/>
      <c r="B58" s="512"/>
      <c r="C58" s="512"/>
      <c r="D58" s="512"/>
      <c r="E58" s="512"/>
      <c r="F58" s="512" t="s">
        <v>1035</v>
      </c>
      <c r="G58" s="512" t="s">
        <v>1035</v>
      </c>
      <c r="I58" t="s">
        <v>1035</v>
      </c>
    </row>
    <row r="59" spans="1:9">
      <c r="A59" s="512"/>
      <c r="B59" s="512"/>
      <c r="C59" s="512"/>
      <c r="D59" s="512"/>
      <c r="E59" s="512"/>
      <c r="F59" s="512"/>
      <c r="G59" s="512"/>
    </row>
    <row r="60" spans="1:9">
      <c r="A60" s="513" t="s">
        <v>1062</v>
      </c>
      <c r="B60" s="511" t="s">
        <v>1063</v>
      </c>
      <c r="C60" s="512"/>
      <c r="D60" s="512"/>
      <c r="E60" s="512"/>
      <c r="F60" s="512"/>
      <c r="G60" s="512"/>
    </row>
    <row r="61" spans="1:9">
      <c r="A61" s="513"/>
      <c r="B61" s="511"/>
      <c r="C61" s="512"/>
      <c r="D61" s="512"/>
      <c r="E61" s="512"/>
      <c r="F61" s="512"/>
      <c r="G61" s="512"/>
    </row>
    <row r="62" spans="1:9">
      <c r="A62" s="513" t="s">
        <v>1064</v>
      </c>
      <c r="B62" s="511" t="s">
        <v>1065</v>
      </c>
      <c r="C62" s="511"/>
      <c r="D62" s="511"/>
      <c r="E62" s="512"/>
      <c r="F62" s="512"/>
      <c r="G62" s="512"/>
    </row>
    <row r="63" spans="1:9">
      <c r="A63" s="513"/>
      <c r="B63" s="512"/>
      <c r="C63" s="512"/>
      <c r="D63" s="512"/>
      <c r="E63" s="512"/>
      <c r="F63" s="519" t="s">
        <v>1066</v>
      </c>
      <c r="G63" s="519" t="s">
        <v>1066</v>
      </c>
      <c r="I63" t="s">
        <v>1066</v>
      </c>
    </row>
    <row r="64" spans="1:9">
      <c r="A64" s="513"/>
      <c r="B64" s="512" t="s">
        <v>1067</v>
      </c>
      <c r="C64" s="512"/>
      <c r="D64" s="512"/>
      <c r="E64" s="512"/>
      <c r="F64" s="532">
        <f>+'Nota 28'!B16-'Nota 28'!B9+'Nota 29'!B14</f>
        <v>11263050</v>
      </c>
      <c r="G64" s="532">
        <f>+'Nota 28'!C16-'Nota 28'!C9+'Nota 29'!C14</f>
        <v>42764782</v>
      </c>
      <c r="I64" s="523">
        <v>42764782</v>
      </c>
    </row>
    <row r="65" spans="1:10">
      <c r="A65" s="513"/>
      <c r="B65" s="512"/>
      <c r="C65" s="512"/>
      <c r="D65" s="512"/>
      <c r="E65" s="512"/>
      <c r="F65" s="520" t="s">
        <v>1035</v>
      </c>
      <c r="G65" s="520" t="s">
        <v>1035</v>
      </c>
      <c r="I65" t="s">
        <v>1035</v>
      </c>
    </row>
    <row r="66" spans="1:10">
      <c r="A66" s="513"/>
      <c r="B66" s="512"/>
      <c r="C66" s="512"/>
      <c r="D66" s="512"/>
      <c r="E66" s="512"/>
      <c r="F66" s="512"/>
      <c r="G66" s="512"/>
    </row>
    <row r="67" spans="1:10">
      <c r="A67" s="513" t="s">
        <v>1068</v>
      </c>
      <c r="B67" s="511" t="s">
        <v>1069</v>
      </c>
      <c r="C67" s="512"/>
      <c r="D67" s="512"/>
      <c r="E67" s="512"/>
      <c r="F67" s="512"/>
      <c r="G67" s="512"/>
      <c r="H67" s="502">
        <v>4028772812</v>
      </c>
      <c r="I67" s="523"/>
    </row>
    <row r="68" spans="1:10">
      <c r="A68" s="512"/>
      <c r="B68" s="512"/>
      <c r="C68" s="512"/>
      <c r="D68" s="512"/>
      <c r="E68" s="512"/>
      <c r="F68" s="512"/>
      <c r="G68" s="512"/>
    </row>
    <row r="69" spans="1:10">
      <c r="A69" s="512"/>
      <c r="B69" s="512" t="s">
        <v>1070</v>
      </c>
      <c r="C69" s="512"/>
      <c r="D69" s="512"/>
      <c r="E69" s="512"/>
      <c r="F69" s="637">
        <f>+G71</f>
        <v>5250797032</v>
      </c>
      <c r="G69" s="639">
        <f>+H71-G95</f>
        <v>3576422493</v>
      </c>
      <c r="I69" s="523">
        <v>3576422493</v>
      </c>
      <c r="J69" s="523">
        <f t="shared" ref="J69:J71" si="4">+G69-I69</f>
        <v>0</v>
      </c>
    </row>
    <row r="70" spans="1:10">
      <c r="A70" s="512"/>
      <c r="B70" s="512" t="s">
        <v>1071</v>
      </c>
      <c r="C70" s="512"/>
      <c r="D70" s="512"/>
      <c r="E70" s="512"/>
      <c r="F70" s="512">
        <v>0</v>
      </c>
      <c r="G70" s="512">
        <v>0</v>
      </c>
      <c r="I70">
        <v>0</v>
      </c>
      <c r="J70" s="523">
        <f t="shared" si="4"/>
        <v>0</v>
      </c>
    </row>
    <row r="71" spans="1:10">
      <c r="A71" s="512"/>
      <c r="B71" s="512" t="s">
        <v>1072</v>
      </c>
      <c r="C71" s="512"/>
      <c r="D71" s="512"/>
      <c r="E71" s="512"/>
      <c r="F71" s="632">
        <f>+BG!F17-F96+BG!F21-F82-2</f>
        <v>5118934651</v>
      </c>
      <c r="G71" s="637">
        <f>'3 años'!G17-G96+'3 años'!G21</f>
        <v>5250797032</v>
      </c>
      <c r="H71" s="539">
        <f>'3 años'!H17-H96+'3 años'!H21</f>
        <v>3612885719</v>
      </c>
      <c r="I71" s="523">
        <v>5250797032</v>
      </c>
      <c r="J71" s="523">
        <f t="shared" si="4"/>
        <v>0</v>
      </c>
    </row>
    <row r="72" spans="1:10">
      <c r="A72" s="512"/>
      <c r="B72" s="512"/>
      <c r="C72" s="512"/>
      <c r="D72" s="512"/>
      <c r="E72" s="512"/>
      <c r="F72" s="512" t="s">
        <v>1033</v>
      </c>
      <c r="G72" s="512" t="s">
        <v>1033</v>
      </c>
      <c r="I72" t="s">
        <v>1033</v>
      </c>
    </row>
    <row r="73" spans="1:10">
      <c r="A73" s="512"/>
      <c r="B73" s="512" t="s">
        <v>1073</v>
      </c>
      <c r="C73" s="512"/>
      <c r="D73" s="512"/>
      <c r="E73" s="512"/>
      <c r="F73" s="529">
        <f>F69-F71</f>
        <v>131862381</v>
      </c>
      <c r="G73" s="529">
        <f>G69-G71</f>
        <v>-1674374539</v>
      </c>
      <c r="I73" s="523">
        <v>-1674374539</v>
      </c>
    </row>
    <row r="74" spans="1:10">
      <c r="A74" s="512"/>
      <c r="B74" s="512"/>
      <c r="C74" s="512"/>
      <c r="D74" s="512"/>
      <c r="E74" s="512"/>
      <c r="F74" s="512" t="s">
        <v>1035</v>
      </c>
      <c r="G74" s="512" t="s">
        <v>1035</v>
      </c>
      <c r="I74" t="s">
        <v>1035</v>
      </c>
    </row>
    <row r="75" spans="1:10">
      <c r="A75" s="513" t="s">
        <v>1074</v>
      </c>
      <c r="B75" s="511" t="s">
        <v>1075</v>
      </c>
      <c r="C75" s="512"/>
      <c r="D75" s="512"/>
      <c r="E75" s="512"/>
      <c r="F75" s="512"/>
      <c r="G75" s="512"/>
    </row>
    <row r="76" spans="1:10">
      <c r="A76" s="513"/>
      <c r="B76" s="511"/>
      <c r="C76" s="512"/>
      <c r="D76" s="512"/>
      <c r="E76" s="512"/>
      <c r="F76" s="512"/>
      <c r="G76" s="512"/>
    </row>
    <row r="77" spans="1:10">
      <c r="A77" s="513" t="s">
        <v>1076</v>
      </c>
      <c r="B77" s="511" t="s">
        <v>1077</v>
      </c>
      <c r="C77" s="512"/>
      <c r="D77" s="512"/>
      <c r="E77" s="512"/>
      <c r="F77" s="512"/>
      <c r="G77" s="512"/>
    </row>
    <row r="78" spans="1:10">
      <c r="A78" s="513"/>
      <c r="B78" s="512"/>
      <c r="C78" s="512"/>
      <c r="D78" s="512"/>
      <c r="E78" s="512"/>
      <c r="F78" s="512"/>
      <c r="G78" s="512"/>
    </row>
    <row r="79" spans="1:10">
      <c r="A79" s="513"/>
      <c r="B79" t="s">
        <v>1078</v>
      </c>
      <c r="F79" s="635">
        <f>+'Nota 17'!B13</f>
        <v>4612915</v>
      </c>
      <c r="G79" s="572">
        <f>-'2023'!C223</f>
        <v>37510370</v>
      </c>
      <c r="I79" s="523">
        <v>37510370</v>
      </c>
    </row>
    <row r="80" spans="1:10">
      <c r="A80" s="513"/>
      <c r="B80" s="520" t="s">
        <v>1079</v>
      </c>
      <c r="F80" s="521">
        <v>0</v>
      </c>
      <c r="G80" s="521">
        <v>0</v>
      </c>
      <c r="I80">
        <v>0</v>
      </c>
    </row>
    <row r="81" spans="1:10">
      <c r="A81" s="513"/>
      <c r="B81" s="520" t="s">
        <v>1080</v>
      </c>
      <c r="F81" s="521">
        <f>+G79</f>
        <v>37510370</v>
      </c>
      <c r="G81" s="643">
        <f>-'2022'!C221</f>
        <v>54024541</v>
      </c>
      <c r="I81" s="523">
        <v>54024541</v>
      </c>
    </row>
    <row r="82" spans="1:10">
      <c r="A82" s="513"/>
      <c r="B82" s="520" t="s">
        <v>1081</v>
      </c>
      <c r="F82" s="633">
        <f>+'Nota 6'!B13</f>
        <v>261721</v>
      </c>
      <c r="G82" s="521">
        <v>0</v>
      </c>
      <c r="I82">
        <v>0</v>
      </c>
    </row>
    <row r="83" spans="1:10">
      <c r="A83" s="513"/>
      <c r="B83" s="520" t="s">
        <v>1082</v>
      </c>
      <c r="F83" s="638">
        <v>0</v>
      </c>
      <c r="G83" s="521">
        <v>0</v>
      </c>
      <c r="I83">
        <v>0</v>
      </c>
    </row>
    <row r="84" spans="1:10">
      <c r="A84" s="513"/>
      <c r="B84" s="520" t="s">
        <v>1083</v>
      </c>
      <c r="F84" s="521">
        <v>0</v>
      </c>
      <c r="G84" s="521">
        <v>0</v>
      </c>
      <c r="I84">
        <v>0</v>
      </c>
    </row>
    <row r="85" spans="1:10">
      <c r="A85" s="513"/>
      <c r="F85" s="519" t="s">
        <v>1066</v>
      </c>
      <c r="G85" s="519" t="s">
        <v>1066</v>
      </c>
      <c r="I85" t="s">
        <v>1066</v>
      </c>
    </row>
    <row r="86" spans="1:10">
      <c r="A86" s="513"/>
      <c r="B86" s="36" t="s">
        <v>1084</v>
      </c>
      <c r="C86" s="36"/>
      <c r="D86" s="36"/>
      <c r="F86" s="522">
        <f>F79-F80-F81-F82+F83+F84</f>
        <v>-33159176</v>
      </c>
      <c r="G86" s="522">
        <f>G79-G80-G81-G82+G83+G84</f>
        <v>-16514171</v>
      </c>
      <c r="I86" s="523">
        <v>-16514171</v>
      </c>
    </row>
    <row r="87" spans="1:10">
      <c r="A87" s="513"/>
      <c r="F87" s="520" t="s">
        <v>1035</v>
      </c>
      <c r="G87" s="520" t="s">
        <v>1035</v>
      </c>
      <c r="I87" t="s">
        <v>1035</v>
      </c>
    </row>
    <row r="88" spans="1:10">
      <c r="A88" s="513"/>
      <c r="B88" t="s">
        <v>1085</v>
      </c>
      <c r="F88" s="512"/>
      <c r="G88" s="512"/>
    </row>
    <row r="89" spans="1:10">
      <c r="A89" s="513"/>
      <c r="B89" s="512"/>
      <c r="C89" s="512"/>
      <c r="D89" s="512"/>
      <c r="E89" s="512"/>
      <c r="F89" s="512"/>
      <c r="G89" s="512"/>
    </row>
    <row r="90" spans="1:10">
      <c r="A90" s="513" t="s">
        <v>1086</v>
      </c>
      <c r="B90" s="511" t="s">
        <v>1087</v>
      </c>
      <c r="C90" s="512"/>
      <c r="D90" s="512"/>
      <c r="E90" s="512"/>
      <c r="F90" s="512"/>
      <c r="G90" s="512"/>
    </row>
    <row r="91" spans="1:10">
      <c r="A91" s="511"/>
      <c r="B91" s="512"/>
      <c r="C91" s="512"/>
      <c r="D91" s="512"/>
      <c r="E91" s="512"/>
      <c r="F91" s="512"/>
      <c r="G91" s="512"/>
    </row>
    <row r="92" spans="1:10">
      <c r="A92" s="511"/>
      <c r="B92" s="512" t="s">
        <v>1088</v>
      </c>
      <c r="C92" s="512"/>
      <c r="D92" s="512"/>
      <c r="E92" s="512"/>
      <c r="F92" s="630">
        <f>-ER!C28</f>
        <v>0</v>
      </c>
      <c r="G92" s="512">
        <f>-ER!D28</f>
        <v>0</v>
      </c>
    </row>
    <row r="93" spans="1:10">
      <c r="A93" s="511"/>
      <c r="B93" s="518" t="s">
        <v>1089</v>
      </c>
      <c r="C93" s="512"/>
      <c r="D93" s="512"/>
      <c r="E93" s="512"/>
      <c r="F93" s="521">
        <f>+G94</f>
        <v>10711960</v>
      </c>
      <c r="G93" s="643">
        <f>-'2022'!C219</f>
        <v>106116564</v>
      </c>
      <c r="I93" s="523">
        <v>106116564</v>
      </c>
    </row>
    <row r="94" spans="1:10">
      <c r="A94" s="511"/>
      <c r="B94" s="518" t="s">
        <v>1090</v>
      </c>
      <c r="C94" s="512"/>
      <c r="D94" s="512"/>
      <c r="E94" s="512"/>
      <c r="F94" s="521">
        <f>+'Nota 17'!B9</f>
        <v>0</v>
      </c>
      <c r="G94" s="521">
        <f>-'2023'!C221</f>
        <v>10711960</v>
      </c>
      <c r="I94" s="523">
        <v>10711960</v>
      </c>
    </row>
    <row r="95" spans="1:10">
      <c r="A95" s="511"/>
      <c r="B95" s="518" t="s">
        <v>1091</v>
      </c>
      <c r="C95" s="512"/>
      <c r="D95" s="512"/>
      <c r="E95" s="512"/>
      <c r="F95" s="638">
        <f>+G96</f>
        <v>23873081</v>
      </c>
      <c r="G95" s="521">
        <f>+'2022'!C56</f>
        <v>36463226</v>
      </c>
      <c r="I95" s="523">
        <v>36463226</v>
      </c>
      <c r="J95" s="523">
        <f>+G95-I95</f>
        <v>0</v>
      </c>
    </row>
    <row r="96" spans="1:10">
      <c r="A96" s="511"/>
      <c r="B96" s="518" t="s">
        <v>1092</v>
      </c>
      <c r="C96" s="512"/>
      <c r="D96" s="512"/>
      <c r="E96" s="512"/>
      <c r="F96" s="633">
        <f>+'Nota 6'!B14+'Nota 6'!B15</f>
        <v>94771508</v>
      </c>
      <c r="G96" s="572">
        <f>+'2023'!C56+'2023'!C57</f>
        <v>23873081</v>
      </c>
      <c r="I96" s="523">
        <v>23873081</v>
      </c>
    </row>
    <row r="97" spans="1:10">
      <c r="A97" s="511"/>
      <c r="B97" s="512"/>
      <c r="C97" s="512"/>
      <c r="D97" s="512"/>
      <c r="E97" s="512"/>
      <c r="F97" s="512" t="s">
        <v>1033</v>
      </c>
      <c r="G97" s="512" t="s">
        <v>1033</v>
      </c>
      <c r="I97" t="s">
        <v>1033</v>
      </c>
    </row>
    <row r="98" spans="1:10">
      <c r="A98" s="512"/>
      <c r="B98" s="512" t="s">
        <v>1093</v>
      </c>
      <c r="C98" s="512"/>
      <c r="D98" s="512"/>
      <c r="E98" s="512"/>
      <c r="F98" s="517">
        <f>F92+F93-F94-F95+F96</f>
        <v>81610387</v>
      </c>
      <c r="G98" s="517">
        <f>G92+G93-G94-G95+G96</f>
        <v>82814459</v>
      </c>
      <c r="I98" s="523">
        <v>82814459</v>
      </c>
    </row>
    <row r="99" spans="1:10">
      <c r="A99" s="512"/>
      <c r="B99" s="512"/>
      <c r="C99" s="512"/>
      <c r="D99" s="512"/>
      <c r="E99" s="512"/>
      <c r="F99" s="512" t="s">
        <v>1035</v>
      </c>
      <c r="G99" s="512" t="s">
        <v>1035</v>
      </c>
      <c r="I99" t="s">
        <v>1035</v>
      </c>
    </row>
    <row r="100" spans="1:10">
      <c r="F100" s="523">
        <f>+F98*-1</f>
        <v>-81610387</v>
      </c>
      <c r="G100" s="523">
        <f>+G98*-1</f>
        <v>-82814459</v>
      </c>
      <c r="I100" s="523">
        <v>-82814459</v>
      </c>
    </row>
    <row r="101" spans="1:10">
      <c r="A101" s="513" t="s">
        <v>1094</v>
      </c>
      <c r="B101" s="511" t="s">
        <v>1095</v>
      </c>
      <c r="C101" s="512"/>
      <c r="D101" s="512"/>
      <c r="E101" s="512"/>
      <c r="F101" s="512"/>
      <c r="G101" s="512"/>
    </row>
    <row r="102" spans="1:10">
      <c r="A102" s="513"/>
      <c r="B102" s="512"/>
      <c r="C102" s="512"/>
      <c r="D102" s="512"/>
      <c r="E102" s="512"/>
      <c r="F102" s="512"/>
      <c r="G102" s="512"/>
    </row>
    <row r="103" spans="1:10">
      <c r="A103" s="513"/>
      <c r="B103" s="512" t="s">
        <v>1096</v>
      </c>
      <c r="C103" s="512"/>
      <c r="D103" s="512"/>
      <c r="E103" s="512"/>
      <c r="F103" s="634">
        <f>+'Nota 17'!B11+'Nota 17'!B12</f>
        <v>2375847</v>
      </c>
      <c r="G103" s="571">
        <f>-'2023'!D220-'2023'!C222</f>
        <v>0</v>
      </c>
      <c r="I103">
        <v>0</v>
      </c>
    </row>
    <row r="104" spans="1:10">
      <c r="A104" s="513"/>
      <c r="B104" s="512" t="s">
        <v>1097</v>
      </c>
      <c r="C104" s="512"/>
      <c r="D104" s="512"/>
      <c r="E104" s="512"/>
      <c r="F104" s="512">
        <f>+G103</f>
        <v>0</v>
      </c>
      <c r="G104" s="642">
        <f>-'2022'!C218-'2022'!C220</f>
        <v>511</v>
      </c>
      <c r="I104">
        <v>511</v>
      </c>
    </row>
    <row r="105" spans="1:10">
      <c r="A105" s="513"/>
      <c r="B105" s="512"/>
      <c r="C105" s="512"/>
      <c r="D105" s="512"/>
      <c r="E105" s="512"/>
      <c r="F105" s="512" t="s">
        <v>1033</v>
      </c>
      <c r="G105" s="512" t="s">
        <v>1033</v>
      </c>
      <c r="I105" t="s">
        <v>1033</v>
      </c>
    </row>
    <row r="106" spans="1:10">
      <c r="A106" s="513"/>
      <c r="B106" s="512" t="s">
        <v>1098</v>
      </c>
      <c r="C106" s="512"/>
      <c r="D106" s="512"/>
      <c r="E106" s="512"/>
      <c r="F106" s="517">
        <f>F103-F104</f>
        <v>2375847</v>
      </c>
      <c r="G106" s="517">
        <f>G103-G104</f>
        <v>-511</v>
      </c>
      <c r="I106">
        <v>-511</v>
      </c>
      <c r="J106" s="523">
        <f>+F98-F86+F106</f>
        <v>117145410</v>
      </c>
    </row>
    <row r="107" spans="1:10">
      <c r="A107" s="513"/>
      <c r="B107" s="512"/>
      <c r="C107" s="512"/>
      <c r="D107" s="512"/>
      <c r="E107" s="512"/>
      <c r="F107" s="512" t="s">
        <v>1035</v>
      </c>
      <c r="G107" s="512" t="s">
        <v>1035</v>
      </c>
      <c r="I107" t="s">
        <v>1035</v>
      </c>
    </row>
    <row r="109" spans="1:10">
      <c r="A109" s="513" t="s">
        <v>1099</v>
      </c>
      <c r="B109" s="511" t="s">
        <v>1100</v>
      </c>
      <c r="C109" s="512"/>
      <c r="D109" s="512"/>
      <c r="E109" s="512"/>
      <c r="F109" s="512"/>
      <c r="G109" s="512"/>
    </row>
    <row r="110" spans="1:10">
      <c r="A110" s="512"/>
      <c r="B110" s="512"/>
      <c r="C110" s="512"/>
      <c r="D110" s="512"/>
      <c r="E110" s="512"/>
      <c r="F110" s="512"/>
      <c r="G110" s="512"/>
    </row>
    <row r="111" spans="1:10">
      <c r="A111" s="512"/>
      <c r="B111" s="512" t="s">
        <v>1101</v>
      </c>
      <c r="C111" s="512"/>
      <c r="D111" s="512"/>
      <c r="E111" s="512"/>
      <c r="F111" s="512">
        <f>[2]Balance!G51</f>
        <v>0</v>
      </c>
      <c r="G111" s="512">
        <f>[2]Balance!H51</f>
        <v>0</v>
      </c>
      <c r="I111">
        <v>0</v>
      </c>
    </row>
    <row r="112" spans="1:10">
      <c r="A112" s="512"/>
      <c r="B112" s="512" t="s">
        <v>1102</v>
      </c>
      <c r="C112" s="512"/>
      <c r="D112" s="512"/>
      <c r="E112" s="512"/>
      <c r="F112" s="512">
        <f>[2]Balance!H51</f>
        <v>0</v>
      </c>
      <c r="G112" s="512">
        <f>[2]Balance!I51</f>
        <v>0</v>
      </c>
      <c r="I112">
        <v>0</v>
      </c>
    </row>
    <row r="113" spans="1:9">
      <c r="A113" s="512"/>
      <c r="B113" s="512"/>
      <c r="C113" s="512"/>
      <c r="D113" s="512"/>
      <c r="E113" s="512"/>
      <c r="F113" s="512" t="s">
        <v>1033</v>
      </c>
      <c r="G113" s="512" t="s">
        <v>1033</v>
      </c>
      <c r="I113" t="s">
        <v>1033</v>
      </c>
    </row>
    <row r="114" spans="1:9">
      <c r="A114" s="512"/>
      <c r="B114" s="512" t="s">
        <v>1103</v>
      </c>
      <c r="C114" s="512"/>
      <c r="D114" s="512"/>
      <c r="E114" s="512"/>
      <c r="F114" s="517">
        <f>+F111-F112</f>
        <v>0</v>
      </c>
      <c r="G114" s="517">
        <f>+G111-G112</f>
        <v>0</v>
      </c>
      <c r="I114">
        <v>0</v>
      </c>
    </row>
    <row r="115" spans="1:9">
      <c r="A115" s="512"/>
      <c r="B115" s="512"/>
      <c r="C115" s="512"/>
      <c r="D115" s="512"/>
      <c r="E115" s="512"/>
      <c r="F115" s="512" t="s">
        <v>1035</v>
      </c>
      <c r="G115" s="512" t="s">
        <v>1035</v>
      </c>
      <c r="I115" t="s">
        <v>1035</v>
      </c>
    </row>
    <row r="116" spans="1:9">
      <c r="A116" s="513" t="s">
        <v>1104</v>
      </c>
      <c r="B116" s="511" t="s">
        <v>1105</v>
      </c>
      <c r="C116" s="512"/>
      <c r="D116" s="512"/>
      <c r="E116" s="512"/>
      <c r="F116" s="512"/>
      <c r="G116" s="512"/>
    </row>
    <row r="117" spans="1:9">
      <c r="A117" s="512"/>
      <c r="B117" s="512"/>
      <c r="C117" s="512"/>
      <c r="D117" s="512"/>
      <c r="E117" s="512"/>
      <c r="F117" s="512"/>
      <c r="G117" s="512"/>
    </row>
    <row r="118" spans="1:9">
      <c r="A118" s="513" t="s">
        <v>1106</v>
      </c>
      <c r="B118" s="511" t="s">
        <v>1105</v>
      </c>
      <c r="C118" s="512"/>
      <c r="D118" s="512"/>
      <c r="E118" s="512"/>
      <c r="F118" s="512"/>
      <c r="G118" s="512"/>
    </row>
    <row r="119" spans="1:9">
      <c r="A119" s="512"/>
      <c r="B119" s="512"/>
      <c r="C119" s="512"/>
      <c r="D119" s="512"/>
      <c r="E119" s="512"/>
      <c r="F119" s="512"/>
      <c r="G119" s="512"/>
    </row>
    <row r="120" spans="1:9">
      <c r="A120" s="512"/>
      <c r="B120" s="512" t="s">
        <v>1107</v>
      </c>
      <c r="C120" s="512"/>
      <c r="D120" s="512"/>
      <c r="E120" s="512"/>
      <c r="F120" s="512">
        <v>0</v>
      </c>
      <c r="G120" s="512">
        <v>0</v>
      </c>
      <c r="I120">
        <v>0</v>
      </c>
    </row>
    <row r="121" spans="1:9">
      <c r="A121" s="512"/>
      <c r="B121" s="512" t="s">
        <v>1108</v>
      </c>
      <c r="C121" s="512"/>
      <c r="D121" s="512"/>
      <c r="E121" s="512"/>
      <c r="F121" s="512">
        <v>0</v>
      </c>
      <c r="G121" s="512">
        <v>0</v>
      </c>
      <c r="I121">
        <v>0</v>
      </c>
    </row>
    <row r="122" spans="1:9">
      <c r="A122" s="512"/>
      <c r="B122" s="512"/>
      <c r="C122" s="512"/>
      <c r="D122" s="512"/>
      <c r="E122" s="512"/>
      <c r="F122" s="512" t="s">
        <v>1033</v>
      </c>
      <c r="G122" s="512" t="s">
        <v>1033</v>
      </c>
      <c r="I122" t="s">
        <v>1033</v>
      </c>
    </row>
    <row r="123" spans="1:9">
      <c r="A123" s="512"/>
      <c r="B123" s="512" t="s">
        <v>1109</v>
      </c>
      <c r="C123" s="512"/>
      <c r="D123" s="512"/>
      <c r="E123" s="512"/>
      <c r="F123" s="529">
        <f>+F120-F121</f>
        <v>0</v>
      </c>
      <c r="G123" s="529">
        <f>+G120-G121</f>
        <v>0</v>
      </c>
      <c r="I123">
        <v>0</v>
      </c>
    </row>
    <row r="124" spans="1:9">
      <c r="A124" s="512"/>
      <c r="B124" s="512"/>
      <c r="C124" s="512"/>
      <c r="D124" s="512"/>
      <c r="E124" s="512"/>
      <c r="F124" s="512" t="s">
        <v>1035</v>
      </c>
      <c r="G124" s="512" t="s">
        <v>1035</v>
      </c>
      <c r="I124" t="s">
        <v>1035</v>
      </c>
    </row>
    <row r="126" spans="1:9">
      <c r="A126" s="513" t="s">
        <v>1110</v>
      </c>
      <c r="B126" s="511" t="s">
        <v>1111</v>
      </c>
      <c r="C126" s="512"/>
      <c r="D126" s="512"/>
      <c r="E126" s="512"/>
      <c r="F126" s="512"/>
      <c r="G126" s="512"/>
    </row>
    <row r="127" spans="1:9">
      <c r="A127" s="513"/>
      <c r="B127" s="511"/>
      <c r="C127" s="512"/>
      <c r="D127" s="512"/>
      <c r="E127" s="512"/>
      <c r="F127" s="512"/>
      <c r="G127" s="512"/>
    </row>
    <row r="128" spans="1:9">
      <c r="A128" s="513"/>
      <c r="B128" s="512" t="s">
        <v>1112</v>
      </c>
      <c r="C128" s="512"/>
      <c r="D128" s="512"/>
      <c r="E128" s="512"/>
      <c r="F128" s="630">
        <f>+'Nota 28'!F10</f>
        <v>7297278</v>
      </c>
      <c r="G128" s="512">
        <f>+'Nota 28'!G10</f>
        <v>5730781</v>
      </c>
      <c r="I128" s="523">
        <v>5730781</v>
      </c>
    </row>
    <row r="129" spans="1:9">
      <c r="A129" s="511"/>
      <c r="B129" s="512" t="s">
        <v>1113</v>
      </c>
      <c r="C129" s="512"/>
      <c r="D129" s="512"/>
      <c r="E129" s="512"/>
      <c r="F129" s="637">
        <f>+G130</f>
        <v>43214701</v>
      </c>
      <c r="G129" s="639">
        <f>+'3 años'!H26</f>
        <v>59478525</v>
      </c>
      <c r="I129" s="523">
        <v>59478525</v>
      </c>
    </row>
    <row r="130" spans="1:9">
      <c r="A130" s="513"/>
      <c r="B130" s="518" t="s">
        <v>1114</v>
      </c>
      <c r="C130" s="512"/>
      <c r="D130" s="512"/>
      <c r="E130" s="512"/>
      <c r="F130" s="632">
        <f>+BG!F26</f>
        <v>57018386</v>
      </c>
      <c r="G130" s="637">
        <f>+'3 años'!G26</f>
        <v>43214701</v>
      </c>
      <c r="I130" s="523">
        <v>43214701</v>
      </c>
    </row>
    <row r="131" spans="1:9">
      <c r="A131" s="513"/>
      <c r="B131" s="511"/>
      <c r="C131" s="512"/>
      <c r="D131" s="512"/>
      <c r="E131" s="512"/>
      <c r="F131" s="519" t="s">
        <v>1066</v>
      </c>
      <c r="G131" s="519" t="s">
        <v>1066</v>
      </c>
      <c r="I131" t="s">
        <v>1066</v>
      </c>
    </row>
    <row r="132" spans="1:9">
      <c r="A132" s="513"/>
      <c r="B132" s="512"/>
      <c r="C132" s="512"/>
      <c r="D132" s="512"/>
      <c r="E132" s="512"/>
      <c r="F132" s="529">
        <f>-F128+F129-F130</f>
        <v>-21100963</v>
      </c>
      <c r="G132" s="529">
        <f>-G128+G129-G130</f>
        <v>10533043</v>
      </c>
      <c r="I132" s="523">
        <v>10533043</v>
      </c>
    </row>
    <row r="133" spans="1:9">
      <c r="A133" s="511"/>
      <c r="B133" s="511"/>
      <c r="C133" s="512"/>
      <c r="D133" s="512"/>
      <c r="E133" s="512"/>
      <c r="F133" s="520" t="s">
        <v>1035</v>
      </c>
      <c r="G133" s="520" t="s">
        <v>1035</v>
      </c>
      <c r="I133" t="s">
        <v>1035</v>
      </c>
    </row>
    <row r="134" spans="1:9">
      <c r="A134" s="513"/>
      <c r="B134" s="511"/>
      <c r="C134" s="512"/>
      <c r="D134" s="512"/>
      <c r="E134" s="512"/>
      <c r="F134" s="512"/>
      <c r="G134" s="512"/>
    </row>
    <row r="135" spans="1:9">
      <c r="A135" s="513" t="s">
        <v>1115</v>
      </c>
      <c r="B135" s="511" t="s">
        <v>1116</v>
      </c>
      <c r="C135" s="512"/>
      <c r="D135" s="512"/>
      <c r="E135" s="512"/>
      <c r="F135" s="512"/>
      <c r="G135" s="512"/>
    </row>
    <row r="136" spans="1:9">
      <c r="A136" s="512"/>
      <c r="B136" s="512"/>
      <c r="C136" s="512"/>
      <c r="D136" s="512"/>
      <c r="E136" s="512"/>
      <c r="F136" s="512"/>
      <c r="G136" s="512"/>
    </row>
    <row r="137" spans="1:9">
      <c r="A137" s="512"/>
      <c r="B137" s="512" t="s">
        <v>1117</v>
      </c>
      <c r="C137" s="512"/>
      <c r="D137" s="512"/>
      <c r="E137" s="512"/>
      <c r="F137" s="632">
        <f>+BG!F24</f>
        <v>16673084933.25</v>
      </c>
      <c r="G137" s="637">
        <f>+'3 años'!G24</f>
        <v>15892052914</v>
      </c>
      <c r="I137" s="523">
        <v>15892052912</v>
      </c>
    </row>
    <row r="138" spans="1:9">
      <c r="A138" s="512"/>
      <c r="B138" s="518" t="s">
        <v>1118</v>
      </c>
      <c r="C138" s="512"/>
      <c r="D138" s="512"/>
      <c r="E138" s="512"/>
      <c r="F138" s="528">
        <v>0</v>
      </c>
      <c r="G138" s="512">
        <v>0</v>
      </c>
      <c r="I138">
        <v>0</v>
      </c>
    </row>
    <row r="139" spans="1:9">
      <c r="A139" s="512"/>
      <c r="B139" s="518" t="s">
        <v>1119</v>
      </c>
      <c r="C139" s="512"/>
      <c r="D139" s="512"/>
      <c r="E139" s="512"/>
      <c r="F139" s="630">
        <f>+'Nota 28'!F9</f>
        <v>61657482</v>
      </c>
      <c r="G139" s="512">
        <f>+'Nota 28'!G9</f>
        <v>64082847</v>
      </c>
      <c r="I139" s="523">
        <v>64082847</v>
      </c>
    </row>
    <row r="140" spans="1:9">
      <c r="A140" s="512"/>
      <c r="B140" s="518" t="s">
        <v>1120</v>
      </c>
      <c r="C140" s="512"/>
      <c r="D140" s="512"/>
      <c r="E140" s="512"/>
      <c r="F140" s="637">
        <f>+G137</f>
        <v>15892052914</v>
      </c>
      <c r="G140" s="639">
        <f>+'3 años'!H24</f>
        <v>13468308381</v>
      </c>
      <c r="I140" s="523">
        <v>13468308381</v>
      </c>
    </row>
    <row r="141" spans="1:9">
      <c r="A141" s="512"/>
      <c r="B141" s="512"/>
      <c r="C141" s="512"/>
      <c r="D141" s="512"/>
      <c r="E141" s="512"/>
      <c r="F141" s="512" t="s">
        <v>1033</v>
      </c>
      <c r="G141" s="512" t="s">
        <v>1033</v>
      </c>
      <c r="I141" t="s">
        <v>1033</v>
      </c>
    </row>
    <row r="142" spans="1:9">
      <c r="A142" s="512"/>
      <c r="B142" s="512" t="s">
        <v>1121</v>
      </c>
      <c r="C142" s="512"/>
      <c r="D142" s="512"/>
      <c r="E142" s="512"/>
      <c r="F142" s="531">
        <f>F137-F138+F139-F140</f>
        <v>842689501.25</v>
      </c>
      <c r="G142" s="531">
        <f>G137-G138+G139-G140</f>
        <v>2487827380</v>
      </c>
      <c r="I142" s="523">
        <v>2487827378</v>
      </c>
    </row>
    <row r="143" spans="1:9">
      <c r="A143" s="512"/>
      <c r="B143" s="512"/>
      <c r="C143" s="512"/>
      <c r="D143" s="512"/>
      <c r="E143" s="512"/>
      <c r="F143" s="512" t="s">
        <v>1035</v>
      </c>
      <c r="G143" s="512" t="s">
        <v>1035</v>
      </c>
      <c r="I143" t="s">
        <v>1035</v>
      </c>
    </row>
    <row r="144" spans="1:9">
      <c r="A144" s="511"/>
      <c r="B144" s="512" t="s">
        <v>1122</v>
      </c>
      <c r="C144" s="512"/>
      <c r="D144" s="512"/>
      <c r="E144" s="512"/>
      <c r="F144" s="512"/>
      <c r="G144" s="512"/>
    </row>
    <row r="145" spans="1:9">
      <c r="A145" s="512"/>
      <c r="B145" s="512" t="s">
        <v>1123</v>
      </c>
      <c r="C145" s="512"/>
      <c r="D145" s="512"/>
      <c r="E145" s="512"/>
      <c r="F145" s="512"/>
      <c r="G145" s="512"/>
    </row>
    <row r="146" spans="1:9">
      <c r="A146" s="513"/>
      <c r="B146" s="511"/>
      <c r="C146" s="512"/>
      <c r="D146" s="512"/>
      <c r="E146" s="512"/>
      <c r="F146" s="512"/>
      <c r="G146" s="512"/>
    </row>
    <row r="147" spans="1:9">
      <c r="A147" s="513" t="s">
        <v>1124</v>
      </c>
      <c r="B147" s="511" t="s">
        <v>1125</v>
      </c>
      <c r="C147" s="512"/>
      <c r="D147" s="512"/>
      <c r="E147" s="512"/>
      <c r="F147" s="512"/>
      <c r="G147" s="512"/>
    </row>
    <row r="148" spans="1:9">
      <c r="A148" s="512"/>
      <c r="B148" s="512"/>
      <c r="C148" s="512"/>
      <c r="D148" s="512"/>
      <c r="E148" s="512"/>
      <c r="F148" s="512"/>
      <c r="G148" s="512"/>
    </row>
    <row r="149" spans="1:9">
      <c r="A149" s="512"/>
      <c r="B149" s="512" t="s">
        <v>1126</v>
      </c>
      <c r="C149" s="512"/>
      <c r="D149" s="512"/>
      <c r="E149" s="512"/>
      <c r="F149" s="512">
        <f>+[2]Balance!G610</f>
        <v>15000000000</v>
      </c>
      <c r="G149" s="645">
        <f>+[2]Balance!H610</f>
        <v>15000000000</v>
      </c>
      <c r="I149" s="523">
        <v>15000000000</v>
      </c>
    </row>
    <row r="150" spans="1:9">
      <c r="A150" s="512"/>
      <c r="B150" s="512" t="s">
        <v>1127</v>
      </c>
      <c r="C150" s="512"/>
      <c r="D150" s="512"/>
      <c r="E150" s="512"/>
      <c r="F150" s="512">
        <f>+[2]Balance!H610</f>
        <v>15000000000</v>
      </c>
      <c r="G150" s="512">
        <f>+[2]Balance!I610</f>
        <v>15000000000</v>
      </c>
      <c r="I150" s="523">
        <v>15000000000</v>
      </c>
    </row>
    <row r="151" spans="1:9">
      <c r="A151" s="512"/>
      <c r="B151" s="512"/>
      <c r="C151" s="512"/>
      <c r="D151" s="512"/>
      <c r="E151" s="512"/>
      <c r="F151" s="512" t="s">
        <v>1033</v>
      </c>
      <c r="G151" s="512" t="s">
        <v>1033</v>
      </c>
      <c r="I151" t="s">
        <v>1033</v>
      </c>
    </row>
    <row r="152" spans="1:9">
      <c r="A152" s="512"/>
      <c r="B152" s="512" t="s">
        <v>1128</v>
      </c>
      <c r="C152" s="512"/>
      <c r="D152" s="512"/>
      <c r="E152" s="512"/>
      <c r="F152" s="517">
        <f>+F149-F150</f>
        <v>0</v>
      </c>
      <c r="G152" s="517">
        <f>+G149-G150</f>
        <v>0</v>
      </c>
      <c r="I152">
        <v>0</v>
      </c>
    </row>
    <row r="153" spans="1:9">
      <c r="A153" s="512"/>
      <c r="B153" s="512"/>
      <c r="C153" s="512"/>
      <c r="D153" s="512"/>
      <c r="E153" s="512"/>
      <c r="F153" s="512" t="s">
        <v>1035</v>
      </c>
      <c r="G153" s="512" t="s">
        <v>1035</v>
      </c>
      <c r="I153" t="s">
        <v>1035</v>
      </c>
    </row>
    <row r="154" spans="1:9">
      <c r="A154" s="512"/>
      <c r="B154" s="512"/>
      <c r="C154" s="512"/>
      <c r="D154" s="512"/>
      <c r="E154" s="512"/>
      <c r="F154" s="512"/>
      <c r="G154" s="512"/>
    </row>
    <row r="155" spans="1:9">
      <c r="A155" s="513" t="s">
        <v>1129</v>
      </c>
      <c r="B155" s="511" t="s">
        <v>1130</v>
      </c>
      <c r="C155" s="512"/>
      <c r="D155" s="512"/>
      <c r="E155" s="512"/>
      <c r="F155" s="512"/>
      <c r="G155" s="512"/>
    </row>
    <row r="156" spans="1:9">
      <c r="A156" s="513"/>
      <c r="B156" s="512"/>
      <c r="C156" s="512"/>
      <c r="D156" s="512"/>
      <c r="E156" s="512"/>
      <c r="F156" s="512"/>
      <c r="G156" s="512"/>
    </row>
    <row r="157" spans="1:9">
      <c r="A157" s="513"/>
      <c r="B157" s="512" t="s">
        <v>1131</v>
      </c>
      <c r="C157" s="512"/>
      <c r="D157" s="512"/>
      <c r="E157" s="512"/>
      <c r="F157" s="634">
        <f>+'Nota 14'!E41</f>
        <v>10771180393</v>
      </c>
      <c r="G157" s="512">
        <f>+'3 años'!G33</f>
        <v>7758314784</v>
      </c>
      <c r="I157" s="523">
        <v>7758314784</v>
      </c>
    </row>
    <row r="158" spans="1:9">
      <c r="A158" s="513"/>
      <c r="B158" s="512" t="s">
        <v>1132</v>
      </c>
      <c r="C158" s="512"/>
      <c r="D158" s="512"/>
      <c r="E158" s="512"/>
      <c r="F158" s="512">
        <f>+G157</f>
        <v>7758314784</v>
      </c>
      <c r="G158" s="642">
        <f>+'3 años'!H33</f>
        <v>5879615410</v>
      </c>
      <c r="I158" s="523">
        <v>5879615410</v>
      </c>
    </row>
    <row r="159" spans="1:9">
      <c r="A159" s="513"/>
      <c r="B159" s="512"/>
      <c r="C159" s="512"/>
      <c r="D159" s="512"/>
      <c r="E159" s="512"/>
      <c r="F159" s="512" t="s">
        <v>1033</v>
      </c>
      <c r="G159" s="512" t="s">
        <v>1033</v>
      </c>
      <c r="I159" t="s">
        <v>1033</v>
      </c>
    </row>
    <row r="160" spans="1:9">
      <c r="A160" s="513"/>
      <c r="B160" s="512" t="s">
        <v>1133</v>
      </c>
      <c r="C160" s="512"/>
      <c r="D160" s="512"/>
      <c r="E160" s="512"/>
      <c r="F160" s="529">
        <f>F157-F158</f>
        <v>3012865609</v>
      </c>
      <c r="G160" s="529">
        <f>G157-G158</f>
        <v>1878699374</v>
      </c>
      <c r="I160" s="523">
        <v>1878699374</v>
      </c>
    </row>
    <row r="161" spans="1:11">
      <c r="A161" s="513"/>
      <c r="B161" s="512"/>
      <c r="C161" s="512"/>
      <c r="D161" s="512"/>
      <c r="E161" s="512"/>
      <c r="F161" s="512" t="s">
        <v>1035</v>
      </c>
      <c r="G161" s="512" t="s">
        <v>1035</v>
      </c>
      <c r="I161" t="s">
        <v>1035</v>
      </c>
    </row>
    <row r="162" spans="1:11">
      <c r="A162" s="513"/>
      <c r="B162" s="512"/>
      <c r="C162" s="512"/>
      <c r="D162" s="512"/>
      <c r="E162" s="512"/>
      <c r="F162" s="512"/>
      <c r="G162" s="512"/>
    </row>
    <row r="163" spans="1:11">
      <c r="A163" s="513"/>
      <c r="B163" s="512" t="s">
        <v>1134</v>
      </c>
      <c r="C163" s="512"/>
      <c r="D163" s="512"/>
      <c r="E163" s="512"/>
      <c r="F163" s="634">
        <f>+'Nota 14'!E69</f>
        <v>3358538065</v>
      </c>
      <c r="G163" s="512">
        <f>+'3 años'!G41</f>
        <v>2302075249</v>
      </c>
      <c r="I163" s="523">
        <v>2302075249</v>
      </c>
    </row>
    <row r="164" spans="1:11">
      <c r="A164" s="513"/>
      <c r="B164" s="512" t="s">
        <v>1135</v>
      </c>
      <c r="C164" s="512"/>
      <c r="D164" s="512"/>
      <c r="E164" s="512"/>
      <c r="F164" s="512">
        <f>+G163</f>
        <v>2302075249</v>
      </c>
      <c r="G164" s="642">
        <f>+'3 años'!H41</f>
        <v>2472581827</v>
      </c>
      <c r="I164" s="523">
        <v>2472581827</v>
      </c>
    </row>
    <row r="165" spans="1:11">
      <c r="A165" s="513"/>
      <c r="B165" s="512"/>
      <c r="C165" s="512"/>
      <c r="D165" s="512"/>
      <c r="E165" s="512"/>
      <c r="F165" s="512" t="s">
        <v>1033</v>
      </c>
      <c r="G165" s="512" t="s">
        <v>1033</v>
      </c>
      <c r="I165" t="s">
        <v>1033</v>
      </c>
    </row>
    <row r="166" spans="1:11">
      <c r="A166" s="513"/>
      <c r="B166" s="512" t="s">
        <v>1133</v>
      </c>
      <c r="C166" s="512"/>
      <c r="D166" s="512"/>
      <c r="E166" s="512"/>
      <c r="F166" s="529">
        <f>F163-F164</f>
        <v>1056462816</v>
      </c>
      <c r="G166" s="529">
        <f>G163-G164</f>
        <v>-170506578</v>
      </c>
      <c r="I166" s="523">
        <v>-170506578</v>
      </c>
    </row>
    <row r="167" spans="1:11">
      <c r="A167" s="513"/>
      <c r="B167" s="512"/>
      <c r="C167" s="512"/>
      <c r="D167" s="512"/>
      <c r="E167" s="512"/>
      <c r="F167" s="512" t="s">
        <v>1035</v>
      </c>
      <c r="G167" s="512" t="s">
        <v>1035</v>
      </c>
      <c r="I167" t="s">
        <v>1035</v>
      </c>
    </row>
    <row r="168" spans="1:11">
      <c r="A168" s="513"/>
      <c r="B168" s="512"/>
      <c r="C168" s="512"/>
      <c r="D168" s="512"/>
      <c r="E168" s="512"/>
      <c r="F168" s="512"/>
      <c r="G168" s="512"/>
    </row>
    <row r="169" spans="1:11">
      <c r="A169" s="513"/>
      <c r="B169" s="512"/>
      <c r="C169" s="512"/>
      <c r="D169" s="512"/>
      <c r="E169" s="512"/>
      <c r="F169" s="512"/>
      <c r="G169" s="512"/>
    </row>
    <row r="170" spans="1:11">
      <c r="A170" s="513" t="s">
        <v>1136</v>
      </c>
      <c r="B170" s="511" t="s">
        <v>1137</v>
      </c>
      <c r="C170" s="512"/>
      <c r="D170" s="512"/>
      <c r="E170" s="512"/>
      <c r="F170" s="512"/>
      <c r="G170" s="512"/>
    </row>
    <row r="171" spans="1:11">
      <c r="A171" s="513"/>
      <c r="B171" s="512" t="s">
        <v>1138</v>
      </c>
      <c r="C171" s="512"/>
      <c r="D171" s="512"/>
      <c r="E171" s="512"/>
      <c r="F171" s="512"/>
      <c r="G171" s="512"/>
    </row>
    <row r="172" spans="1:11">
      <c r="A172" s="513"/>
      <c r="B172" s="512" t="s">
        <v>1139</v>
      </c>
      <c r="C172" s="512"/>
      <c r="D172" s="512"/>
      <c r="E172" s="512"/>
      <c r="F172" s="577">
        <f>+BG!F53-F173</f>
        <v>1303768629</v>
      </c>
      <c r="G172" s="577">
        <f>+'3 años'!G53-ER!D35</f>
        <v>4845064483</v>
      </c>
      <c r="H172" s="512">
        <f>+'3 años'!H53-H173</f>
        <v>3501331865</v>
      </c>
      <c r="I172" s="523">
        <v>4845064483</v>
      </c>
      <c r="J172" s="523">
        <f>+G172-I172</f>
        <v>0</v>
      </c>
    </row>
    <row r="173" spans="1:11">
      <c r="A173" s="513"/>
      <c r="B173" s="512" t="s">
        <v>1140</v>
      </c>
      <c r="C173" s="512"/>
      <c r="D173" s="512"/>
      <c r="E173" s="512"/>
      <c r="F173" s="577">
        <f>+'Nota 23'!B10</f>
        <v>285413091</v>
      </c>
      <c r="G173" s="577">
        <f>+ER!D35</f>
        <v>591064979</v>
      </c>
      <c r="H173" s="502">
        <f>-'2022'!C277</f>
        <v>13391023</v>
      </c>
      <c r="I173" s="523">
        <v>591064979</v>
      </c>
      <c r="J173" s="523">
        <f t="shared" ref="J173:J182" si="5">+G173-I173</f>
        <v>0</v>
      </c>
    </row>
    <row r="174" spans="1:11">
      <c r="A174" s="513"/>
      <c r="B174" s="512" t="s">
        <v>1141</v>
      </c>
      <c r="C174" s="512"/>
      <c r="D174" s="512"/>
      <c r="E174" s="512"/>
      <c r="F174" s="577">
        <f>+'3 años'!F50</f>
        <v>1252221963</v>
      </c>
      <c r="G174" s="512">
        <f>+'3 años'!G50+'3 años'!G51</f>
        <v>1786697277</v>
      </c>
      <c r="H174" s="512">
        <f>+'3 años'!H50+'3 años'!H51</f>
        <v>1814827557</v>
      </c>
      <c r="I174" s="523">
        <v>1786697277</v>
      </c>
      <c r="J174" s="523">
        <f t="shared" si="5"/>
        <v>0</v>
      </c>
    </row>
    <row r="175" spans="1:11">
      <c r="A175" s="513"/>
      <c r="B175" s="512" t="s">
        <v>1142</v>
      </c>
      <c r="C175" s="512"/>
      <c r="D175" s="512"/>
      <c r="E175" s="512"/>
      <c r="F175" s="577">
        <f>+'3 años'!F49</f>
        <v>1291637728</v>
      </c>
      <c r="G175" s="512">
        <f>+'3 años'!G49</f>
        <v>1171598793</v>
      </c>
      <c r="H175" s="512">
        <f>+'3 años'!H49</f>
        <v>1143468513</v>
      </c>
      <c r="I175" s="523">
        <v>1171598793</v>
      </c>
      <c r="J175" s="523">
        <f t="shared" si="5"/>
        <v>0</v>
      </c>
      <c r="K175" s="523"/>
    </row>
    <row r="176" spans="1:11">
      <c r="A176" s="513"/>
      <c r="B176" s="512" t="s">
        <v>1143</v>
      </c>
      <c r="C176" s="512"/>
      <c r="D176" s="512"/>
      <c r="E176" s="512"/>
      <c r="F176" s="634">
        <f>+'Nota 18'!B15</f>
        <v>3250256153</v>
      </c>
      <c r="G176" s="512">
        <f>-'2023'!C212</f>
        <v>1430370840</v>
      </c>
      <c r="I176" s="523">
        <v>1430370840</v>
      </c>
      <c r="J176" s="523">
        <f t="shared" si="5"/>
        <v>0</v>
      </c>
    </row>
    <row r="177" spans="1:10">
      <c r="A177" s="513"/>
      <c r="B177" s="512" t="s">
        <v>1144</v>
      </c>
      <c r="C177" s="512"/>
      <c r="D177" s="512"/>
      <c r="E177" s="512"/>
      <c r="F177" s="577">
        <f>+F173</f>
        <v>285413091</v>
      </c>
      <c r="G177" s="512">
        <f>+G173</f>
        <v>591064979</v>
      </c>
      <c r="I177" s="523">
        <v>591064979</v>
      </c>
      <c r="J177" s="523">
        <f t="shared" si="5"/>
        <v>0</v>
      </c>
    </row>
    <row r="178" spans="1:10">
      <c r="A178" s="513"/>
      <c r="B178" s="518" t="s">
        <v>1145</v>
      </c>
      <c r="C178" s="512"/>
      <c r="D178" s="512"/>
      <c r="E178" s="512"/>
      <c r="F178" s="577">
        <f>+G173</f>
        <v>591064979</v>
      </c>
      <c r="G178" s="645">
        <f>+H173</f>
        <v>13391023</v>
      </c>
      <c r="I178" s="523">
        <v>13391023</v>
      </c>
      <c r="J178" s="523">
        <f t="shared" si="5"/>
        <v>0</v>
      </c>
    </row>
    <row r="179" spans="1:10">
      <c r="A179" s="513"/>
      <c r="B179" s="512" t="s">
        <v>1146</v>
      </c>
      <c r="C179" s="512"/>
      <c r="D179" s="512"/>
      <c r="E179" s="512"/>
      <c r="F179" s="577">
        <f>+G172</f>
        <v>4845064483</v>
      </c>
      <c r="G179" s="645">
        <f>+H172</f>
        <v>3501331865</v>
      </c>
      <c r="I179" s="523">
        <v>3501331865</v>
      </c>
      <c r="J179" s="523">
        <f t="shared" si="5"/>
        <v>0</v>
      </c>
    </row>
    <row r="180" spans="1:10">
      <c r="A180" s="513"/>
      <c r="B180" s="512" t="s">
        <v>1147</v>
      </c>
      <c r="C180" s="512"/>
      <c r="D180" s="512"/>
      <c r="E180" s="512"/>
      <c r="F180" s="512">
        <f>+G174</f>
        <v>1786697277</v>
      </c>
      <c r="G180" s="645">
        <f>+'3 años'!H50+'3 años'!H51</f>
        <v>1814827557</v>
      </c>
      <c r="H180" s="512">
        <f>+'3 años'!I51</f>
        <v>562605594</v>
      </c>
      <c r="I180" s="523">
        <v>1814827557</v>
      </c>
      <c r="J180" s="523">
        <f t="shared" si="5"/>
        <v>0</v>
      </c>
    </row>
    <row r="181" spans="1:10">
      <c r="A181" s="513"/>
      <c r="B181" s="512" t="s">
        <v>1148</v>
      </c>
      <c r="C181" s="512"/>
      <c r="D181" s="512"/>
      <c r="E181" s="512"/>
      <c r="F181" s="512">
        <f>+G175</f>
        <v>1171598793</v>
      </c>
      <c r="G181" s="645">
        <f>+'3 años'!H49</f>
        <v>1143468513</v>
      </c>
      <c r="I181" s="523">
        <v>1143468513</v>
      </c>
      <c r="J181" s="523">
        <f t="shared" si="5"/>
        <v>0</v>
      </c>
    </row>
    <row r="182" spans="1:10">
      <c r="A182" s="513"/>
      <c r="B182" s="512" t="s">
        <v>1149</v>
      </c>
      <c r="C182" s="512"/>
      <c r="D182" s="512"/>
      <c r="E182" s="512"/>
      <c r="F182" s="521">
        <f>+G176</f>
        <v>1430370840</v>
      </c>
      <c r="G182" s="643">
        <f>-'2022'!C210</f>
        <v>1617094753</v>
      </c>
      <c r="I182" s="523">
        <v>1617094753</v>
      </c>
      <c r="J182" s="523">
        <f t="shared" si="5"/>
        <v>0</v>
      </c>
    </row>
    <row r="183" spans="1:10">
      <c r="A183" s="513"/>
      <c r="B183" s="518"/>
      <c r="C183" s="512"/>
      <c r="D183" s="512"/>
      <c r="E183" s="512"/>
      <c r="F183" s="524" t="s">
        <v>1150</v>
      </c>
      <c r="G183" s="524" t="s">
        <v>1150</v>
      </c>
      <c r="I183" t="s">
        <v>1150</v>
      </c>
    </row>
    <row r="184" spans="1:10">
      <c r="A184" s="513"/>
      <c r="B184" s="512" t="s">
        <v>1151</v>
      </c>
      <c r="C184" s="512"/>
      <c r="D184" s="512"/>
      <c r="E184" s="512"/>
      <c r="F184" s="529">
        <f>+F171+F172+F173+F174+F175+F176-F177-F178-F179-F180-F181-F182</f>
        <v>-2726911899</v>
      </c>
      <c r="G184" s="529">
        <f>+G171+G172+G173+G174+G175+G176-G177-G178-G179-G180-G181-G182</f>
        <v>1143617682</v>
      </c>
      <c r="I184" s="523">
        <v>1143617682</v>
      </c>
      <c r="J184" s="523">
        <f>+G184-I184</f>
        <v>0</v>
      </c>
    </row>
    <row r="185" spans="1:10">
      <c r="A185" s="512"/>
      <c r="B185" s="512"/>
      <c r="C185" s="512"/>
      <c r="D185" s="512"/>
      <c r="E185" s="512"/>
      <c r="F185" s="512" t="s">
        <v>1035</v>
      </c>
      <c r="G185" s="512" t="s">
        <v>1035</v>
      </c>
      <c r="I185" t="s">
        <v>1035</v>
      </c>
    </row>
    <row r="186" spans="1:10">
      <c r="A186" s="512"/>
      <c r="B186" s="512"/>
      <c r="C186" s="512"/>
      <c r="D186" s="512"/>
      <c r="E186" s="512"/>
      <c r="F186" s="512"/>
      <c r="G186" s="512"/>
      <c r="I186" s="502"/>
    </row>
    <row r="187" spans="1:10">
      <c r="A187" s="512"/>
      <c r="B187" s="512" t="s">
        <v>1152</v>
      </c>
      <c r="C187" s="512"/>
      <c r="D187" s="512"/>
      <c r="E187" s="512"/>
      <c r="F187" s="512"/>
      <c r="G187" s="512"/>
      <c r="I187" s="502"/>
    </row>
    <row r="188" spans="1:10">
      <c r="A188" s="512"/>
      <c r="B188" s="512" t="s">
        <v>1153</v>
      </c>
      <c r="C188" s="512"/>
      <c r="D188" s="512"/>
      <c r="E188" s="512"/>
      <c r="F188" s="512"/>
      <c r="G188" s="512"/>
      <c r="I188" s="502"/>
    </row>
    <row r="189" spans="1:10">
      <c r="A189" s="512"/>
      <c r="B189" s="512"/>
      <c r="C189" s="512"/>
      <c r="D189" s="512"/>
      <c r="E189" s="512"/>
      <c r="F189" s="512"/>
      <c r="G189" s="512"/>
    </row>
    <row r="190" spans="1:10">
      <c r="A190" s="513" t="s">
        <v>1154</v>
      </c>
      <c r="B190" s="511" t="s">
        <v>1155</v>
      </c>
      <c r="C190" s="512"/>
      <c r="D190" s="512"/>
      <c r="E190" s="512"/>
      <c r="F190" s="512"/>
      <c r="G190" s="512"/>
    </row>
    <row r="191" spans="1:10">
      <c r="A191" s="512"/>
      <c r="B191" s="512"/>
      <c r="C191" s="512"/>
      <c r="D191" s="512"/>
      <c r="E191" s="512"/>
      <c r="F191" s="512"/>
      <c r="G191" s="512"/>
    </row>
    <row r="192" spans="1:10">
      <c r="A192" s="512"/>
      <c r="B192" s="512" t="s">
        <v>1156</v>
      </c>
      <c r="C192" s="512"/>
      <c r="D192" s="512"/>
      <c r="E192" s="512"/>
      <c r="F192" s="512">
        <v>0</v>
      </c>
      <c r="G192" s="512">
        <v>0</v>
      </c>
      <c r="I192">
        <v>0</v>
      </c>
    </row>
    <row r="193" spans="1:9">
      <c r="A193" s="511"/>
      <c r="B193" s="512" t="s">
        <v>1157</v>
      </c>
      <c r="C193" s="512"/>
      <c r="D193" s="512"/>
      <c r="E193" s="512"/>
      <c r="F193" s="630">
        <f>+'Nota 29'!F9+'Nota 29'!F10</f>
        <v>213222798</v>
      </c>
      <c r="G193" s="512">
        <f>+'Nota 29'!G9+'Nota 29'!G10</f>
        <v>369637092</v>
      </c>
      <c r="I193" s="523">
        <v>369637092</v>
      </c>
    </row>
    <row r="194" spans="1:9">
      <c r="A194" s="512"/>
      <c r="B194" s="512" t="s">
        <v>1158</v>
      </c>
      <c r="C194" s="512"/>
      <c r="D194" s="512"/>
      <c r="E194" s="512"/>
      <c r="F194" s="512">
        <v>0</v>
      </c>
      <c r="G194" s="512">
        <v>0</v>
      </c>
      <c r="I194">
        <v>0</v>
      </c>
    </row>
    <row r="195" spans="1:9">
      <c r="A195" s="511"/>
      <c r="B195" s="512"/>
      <c r="C195" s="512"/>
      <c r="D195" s="512"/>
      <c r="E195" s="512"/>
      <c r="F195" s="512" t="s">
        <v>1033</v>
      </c>
      <c r="G195" s="512" t="s">
        <v>1033</v>
      </c>
      <c r="I195" t="s">
        <v>1033</v>
      </c>
    </row>
    <row r="196" spans="1:9">
      <c r="A196" s="511"/>
      <c r="B196" s="512" t="s">
        <v>1159</v>
      </c>
      <c r="C196" s="512"/>
      <c r="D196" s="512"/>
      <c r="E196" s="512"/>
      <c r="F196" s="529">
        <f>-F192+F193+F194</f>
        <v>213222798</v>
      </c>
      <c r="G196" s="529">
        <f>-G192+G193+G194</f>
        <v>369637092</v>
      </c>
      <c r="I196" s="523">
        <v>369637092</v>
      </c>
    </row>
    <row r="197" spans="1:9">
      <c r="A197" s="512"/>
      <c r="B197" s="512"/>
      <c r="C197" s="512"/>
      <c r="D197" s="512"/>
      <c r="E197" s="512"/>
      <c r="F197" s="512" t="s">
        <v>1035</v>
      </c>
      <c r="G197" s="512" t="s">
        <v>1035</v>
      </c>
      <c r="I197" t="s">
        <v>1035</v>
      </c>
    </row>
    <row r="198" spans="1:9">
      <c r="A198" s="512"/>
      <c r="B198" s="512" t="s">
        <v>1160</v>
      </c>
      <c r="C198" s="512"/>
      <c r="D198" s="512"/>
      <c r="E198" s="512"/>
      <c r="F198" s="512"/>
      <c r="G198" s="512"/>
    </row>
    <row r="199" spans="1:9">
      <c r="A199" s="512"/>
      <c r="B199" s="512"/>
      <c r="C199" s="512"/>
      <c r="D199" s="512"/>
      <c r="E199" s="512"/>
      <c r="F199" s="512"/>
      <c r="G199" s="512"/>
    </row>
    <row r="200" spans="1:9">
      <c r="A200" s="513" t="s">
        <v>1161</v>
      </c>
      <c r="B200" s="511" t="s">
        <v>1162</v>
      </c>
      <c r="C200" s="512"/>
      <c r="D200" s="512"/>
      <c r="E200" s="512"/>
      <c r="F200" s="512"/>
      <c r="G200" s="512"/>
    </row>
    <row r="201" spans="1:9">
      <c r="A201" s="512"/>
      <c r="B201" s="512"/>
      <c r="C201" s="512"/>
      <c r="D201" s="512"/>
      <c r="E201" s="512"/>
      <c r="F201" s="512"/>
      <c r="G201" s="512"/>
    </row>
    <row r="202" spans="1:9">
      <c r="A202" s="512"/>
      <c r="B202" s="512" t="s">
        <v>1163</v>
      </c>
      <c r="C202" s="512"/>
      <c r="D202" s="512"/>
      <c r="E202" s="512"/>
      <c r="F202" s="533">
        <f>+'Nota 28'!B9-'Nota 28'!F11</f>
        <v>-36485417</v>
      </c>
      <c r="G202" s="534">
        <f>+'Nota 28'!C9-'Nota 28'!G11</f>
        <v>-186457233</v>
      </c>
      <c r="I202" s="523">
        <v>-186457233</v>
      </c>
    </row>
    <row r="203" spans="1:9">
      <c r="A203" s="512"/>
      <c r="B203" s="512"/>
      <c r="C203" s="512"/>
      <c r="D203" s="512"/>
      <c r="E203" s="512"/>
      <c r="F203" s="512"/>
      <c r="G203" s="512"/>
    </row>
    <row r="204" spans="1:9">
      <c r="A204" s="512"/>
      <c r="B204" s="512" t="s">
        <v>1164</v>
      </c>
      <c r="C204" s="512"/>
      <c r="D204" s="512"/>
      <c r="E204" s="512"/>
      <c r="F204" s="512"/>
      <c r="G204" s="512"/>
    </row>
    <row r="205" spans="1:9">
      <c r="A205" s="512"/>
      <c r="B205" s="512"/>
      <c r="C205" s="512"/>
      <c r="D205" s="512"/>
      <c r="E205" s="512"/>
      <c r="F205" s="512"/>
      <c r="G205" s="512"/>
    </row>
    <row r="206" spans="1:9">
      <c r="A206" s="512"/>
      <c r="B206" s="512"/>
      <c r="C206" s="512"/>
      <c r="D206" s="512"/>
      <c r="E206" s="512"/>
      <c r="F206" s="512"/>
      <c r="G206" s="512"/>
    </row>
    <row r="207" spans="1:9">
      <c r="A207" s="525"/>
      <c r="B207" s="525"/>
      <c r="C207" s="525"/>
      <c r="D207" s="525"/>
      <c r="E207" s="525"/>
      <c r="F207" s="525"/>
      <c r="G207" s="525"/>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82"/>
  <sheetViews>
    <sheetView topLeftCell="A43" workbookViewId="0">
      <selection activeCell="F53" sqref="F53"/>
    </sheetView>
  </sheetViews>
  <sheetFormatPr baseColWidth="10" defaultColWidth="11.28515625" defaultRowHeight="11.25"/>
  <cols>
    <col min="1" max="1" width="4.7109375" style="26" customWidth="1"/>
    <col min="2" max="2" width="2" style="26" customWidth="1"/>
    <col min="3" max="3" width="2.28515625" style="26" customWidth="1"/>
    <col min="4" max="4" width="51.85546875" style="26" customWidth="1"/>
    <col min="5" max="5" width="10.28515625" style="28" customWidth="1"/>
    <col min="6" max="8" width="21.7109375" style="26" bestFit="1" customWidth="1"/>
    <col min="9" max="9" width="18.7109375" style="403" customWidth="1"/>
    <col min="10" max="11" width="12.85546875" style="403" bestFit="1" customWidth="1"/>
    <col min="12" max="16384" width="11.28515625" style="26"/>
  </cols>
  <sheetData>
    <row r="1" spans="1:10" ht="15">
      <c r="D1" s="355"/>
      <c r="E1" s="27" t="s">
        <v>113</v>
      </c>
    </row>
    <row r="3" spans="1:10">
      <c r="F3" s="29"/>
    </row>
    <row r="4" spans="1:10">
      <c r="D4" s="26" t="s">
        <v>931</v>
      </c>
    </row>
    <row r="6" spans="1:10">
      <c r="G6" s="30"/>
      <c r="H6" s="30"/>
    </row>
    <row r="7" spans="1:10" ht="12.75">
      <c r="A7" s="711" t="str">
        <f>+BG!A7</f>
        <v>BALANCE GENERAL</v>
      </c>
      <c r="B7" s="711"/>
      <c r="C7" s="711"/>
      <c r="D7" s="711"/>
      <c r="E7" s="711"/>
      <c r="F7" s="711"/>
      <c r="G7" s="711"/>
    </row>
    <row r="8" spans="1:10" ht="15" customHeight="1">
      <c r="A8" s="711" t="str">
        <f>+BG!A8</f>
        <v>AL 31 DE MARZO DE 2024  COMPARATIVO CON 31 DE DICIEMBRE DE 2023</v>
      </c>
      <c r="B8" s="711"/>
      <c r="C8" s="711"/>
      <c r="D8" s="711"/>
      <c r="E8" s="711"/>
      <c r="F8" s="711"/>
      <c r="G8" s="711"/>
    </row>
    <row r="9" spans="1:10" ht="12.75">
      <c r="A9" s="712" t="s">
        <v>115</v>
      </c>
      <c r="B9" s="712"/>
      <c r="C9" s="712"/>
      <c r="D9" s="712"/>
      <c r="E9" s="712"/>
      <c r="F9" s="712"/>
      <c r="G9" s="712"/>
    </row>
    <row r="10" spans="1:10" ht="12">
      <c r="A10" s="31"/>
      <c r="B10" s="31"/>
      <c r="C10" s="31"/>
      <c r="D10" s="31"/>
      <c r="E10" s="32"/>
      <c r="F10" s="31"/>
      <c r="G10" s="31"/>
      <c r="H10" s="31"/>
    </row>
    <row r="11" spans="1:10" ht="15">
      <c r="A11" s="31"/>
      <c r="B11" s="33"/>
      <c r="C11" s="33"/>
      <c r="D11" s="33"/>
      <c r="E11" s="34" t="s">
        <v>116</v>
      </c>
      <c r="F11" s="34">
        <v>2024</v>
      </c>
      <c r="G11" s="34">
        <v>2023</v>
      </c>
      <c r="H11" s="34">
        <v>2022</v>
      </c>
    </row>
    <row r="12" spans="1:10" ht="15">
      <c r="B12" s="713" t="s">
        <v>117</v>
      </c>
      <c r="C12" s="713"/>
      <c r="D12" s="713"/>
      <c r="E12" s="35"/>
    </row>
    <row r="13" spans="1:10" ht="12.75">
      <c r="A13" s="31"/>
      <c r="B13" s="36" t="s">
        <v>118</v>
      </c>
      <c r="C13" s="1"/>
      <c r="D13" s="1"/>
      <c r="E13" s="37"/>
      <c r="F13" s="1"/>
      <c r="G13" s="38"/>
      <c r="H13" s="38"/>
    </row>
    <row r="14" spans="1:10" ht="15">
      <c r="A14" s="31"/>
      <c r="B14" s="1"/>
      <c r="C14" s="707" t="s">
        <v>20</v>
      </c>
      <c r="D14" s="707"/>
      <c r="E14" s="39">
        <v>3</v>
      </c>
      <c r="F14" s="40">
        <f>+BG!F14</f>
        <v>2458378025</v>
      </c>
      <c r="G14" s="568">
        <f>+'2023'!C39</f>
        <v>1990981267</v>
      </c>
      <c r="H14" s="568">
        <f>+'2022'!C39</f>
        <v>2574414318</v>
      </c>
      <c r="I14" s="403">
        <v>2574414318</v>
      </c>
      <c r="J14" s="403">
        <f>+H14-I14</f>
        <v>0</v>
      </c>
    </row>
    <row r="15" spans="1:10" ht="15">
      <c r="A15" s="31"/>
      <c r="B15" s="1"/>
      <c r="C15" s="707" t="s">
        <v>22</v>
      </c>
      <c r="D15" s="707"/>
      <c r="E15" s="39">
        <v>4</v>
      </c>
      <c r="F15" s="40">
        <f>+BG!F15</f>
        <v>0</v>
      </c>
      <c r="G15" s="40">
        <v>0</v>
      </c>
      <c r="H15" s="40">
        <v>0</v>
      </c>
      <c r="I15" s="403" t="s">
        <v>2543</v>
      </c>
      <c r="J15" s="403" t="e">
        <f t="shared" ref="J15:J57" si="0">+H15-I15</f>
        <v>#VALUE!</v>
      </c>
    </row>
    <row r="16" spans="1:10" ht="15">
      <c r="A16" s="31"/>
      <c r="B16" s="1"/>
      <c r="C16" s="707" t="s">
        <v>24</v>
      </c>
      <c r="D16" s="707"/>
      <c r="E16" s="39">
        <v>5</v>
      </c>
      <c r="F16" s="578">
        <f>+BG!F16</f>
        <v>946967375</v>
      </c>
      <c r="G16" s="578">
        <f>+'2023'!C49</f>
        <v>1242783009</v>
      </c>
      <c r="H16" s="568">
        <f>+'2022'!C49</f>
        <v>4609338321</v>
      </c>
      <c r="I16" s="403">
        <v>4609338321</v>
      </c>
      <c r="J16" s="403">
        <f t="shared" si="0"/>
        <v>0</v>
      </c>
    </row>
    <row r="17" spans="1:10" ht="15">
      <c r="A17" s="41"/>
      <c r="B17" s="1"/>
      <c r="C17" s="707" t="s">
        <v>26</v>
      </c>
      <c r="D17" s="707"/>
      <c r="E17" s="39">
        <v>6</v>
      </c>
      <c r="F17" s="578">
        <f>+BG!F17</f>
        <v>5189967882</v>
      </c>
      <c r="G17" s="568">
        <f>+'2023'!C53+'2023'!C59+'2023'!C63+'2023'!C69+'2023'!C70+'2023'!C71+'2023'!C188+'2023'!C66</f>
        <v>4761666883</v>
      </c>
      <c r="H17" s="568">
        <f>+'2022'!C53+'2022'!C61+'2022'!C63+'2022'!C69+'2022'!C70+'2022'!C59+'2022'!C67+'2022'!C68+'2022'!C187+'2022'!C62+'2022'!C56+'2022'!C58</f>
        <v>2993976662</v>
      </c>
      <c r="I17" s="403">
        <v>2993976662</v>
      </c>
      <c r="J17" s="403">
        <f t="shared" si="0"/>
        <v>0</v>
      </c>
    </row>
    <row r="18" spans="1:10" ht="15">
      <c r="A18" s="31"/>
      <c r="B18" s="1"/>
      <c r="C18" s="707" t="s">
        <v>28</v>
      </c>
      <c r="D18" s="707"/>
      <c r="E18" s="39">
        <v>7</v>
      </c>
      <c r="F18" s="578">
        <f>+BG!F18</f>
        <v>17387498725</v>
      </c>
      <c r="G18" s="578">
        <f>+'2023'!C136</f>
        <v>17068317427</v>
      </c>
      <c r="H18" s="568">
        <f>+'2022'!C135</f>
        <v>14994903716</v>
      </c>
      <c r="I18" s="403">
        <v>14994903716</v>
      </c>
      <c r="J18" s="403">
        <f t="shared" si="0"/>
        <v>0</v>
      </c>
    </row>
    <row r="19" spans="1:10" ht="12.75">
      <c r="A19" s="31"/>
      <c r="B19" s="1"/>
      <c r="C19" s="36" t="s">
        <v>119</v>
      </c>
      <c r="D19" s="1"/>
      <c r="E19" s="37"/>
      <c r="F19" s="42">
        <f>SUM(F14:F18)</f>
        <v>25982812007</v>
      </c>
      <c r="G19" s="42">
        <f>SUM(G14:G18)</f>
        <v>25063748586</v>
      </c>
      <c r="H19" s="42">
        <f>SUM(H14:H18)</f>
        <v>25172633017</v>
      </c>
      <c r="I19" s="403">
        <v>25172633017</v>
      </c>
      <c r="J19" s="403">
        <f t="shared" si="0"/>
        <v>0</v>
      </c>
    </row>
    <row r="20" spans="1:10" ht="12.75">
      <c r="A20" s="31"/>
      <c r="B20" s="36" t="s">
        <v>120</v>
      </c>
      <c r="C20" s="1"/>
      <c r="D20" s="1"/>
      <c r="E20" s="37"/>
      <c r="F20" s="1"/>
      <c r="G20" s="38"/>
      <c r="H20" s="38"/>
      <c r="J20" s="403">
        <f t="shared" si="0"/>
        <v>0</v>
      </c>
    </row>
    <row r="21" spans="1:10" ht="15">
      <c r="A21" s="31"/>
      <c r="B21" s="1"/>
      <c r="C21" s="707" t="s">
        <v>121</v>
      </c>
      <c r="D21" s="707"/>
      <c r="E21" s="39">
        <v>6</v>
      </c>
      <c r="F21" s="578">
        <f>+BG!F21</f>
        <v>24000000</v>
      </c>
      <c r="G21" s="538">
        <f>+'2023'!C68+'2023'!C189+'2023'!C190</f>
        <v>513003230</v>
      </c>
      <c r="H21" s="538">
        <f>+'2022'!C66+'2022'!C188+'2022'!C189</f>
        <v>618909057</v>
      </c>
      <c r="I21" s="403">
        <v>618909057</v>
      </c>
      <c r="J21" s="403">
        <f t="shared" si="0"/>
        <v>0</v>
      </c>
    </row>
    <row r="22" spans="1:10" ht="15">
      <c r="A22" s="31"/>
      <c r="B22" s="1"/>
      <c r="C22" t="s">
        <v>24</v>
      </c>
      <c r="D22"/>
      <c r="E22" s="39">
        <v>5</v>
      </c>
      <c r="F22" s="40">
        <f>+BG!F22</f>
        <v>0</v>
      </c>
      <c r="G22" s="538">
        <f>+BG!G22</f>
        <v>0</v>
      </c>
      <c r="H22" s="43">
        <v>0</v>
      </c>
      <c r="I22" s="403" t="s">
        <v>2544</v>
      </c>
      <c r="J22" s="403" t="e">
        <f t="shared" si="0"/>
        <v>#VALUE!</v>
      </c>
    </row>
    <row r="23" spans="1:10" ht="15">
      <c r="A23" s="31"/>
      <c r="B23" s="1"/>
      <c r="C23" s="707" t="s">
        <v>30</v>
      </c>
      <c r="D23" s="707"/>
      <c r="E23" s="39">
        <v>8</v>
      </c>
      <c r="F23" s="40">
        <f>+BG!F23</f>
        <v>0</v>
      </c>
      <c r="G23" s="538">
        <f>+BG!G23</f>
        <v>0</v>
      </c>
      <c r="H23" s="38">
        <v>0</v>
      </c>
      <c r="I23" s="403" t="s">
        <v>2544</v>
      </c>
      <c r="J23" s="403" t="e">
        <f t="shared" si="0"/>
        <v>#VALUE!</v>
      </c>
    </row>
    <row r="24" spans="1:10" ht="15">
      <c r="A24" s="31"/>
      <c r="B24" s="1"/>
      <c r="C24" s="707" t="s">
        <v>122</v>
      </c>
      <c r="D24" s="707"/>
      <c r="E24" s="39">
        <v>9</v>
      </c>
      <c r="F24" s="40">
        <f>+BG!F24</f>
        <v>16673084933.25</v>
      </c>
      <c r="G24" s="538">
        <f>+'2023'!C173</f>
        <v>15892052914</v>
      </c>
      <c r="H24" s="570">
        <f>+'2022'!C172</f>
        <v>13468308381</v>
      </c>
      <c r="I24" s="403">
        <v>13468308381</v>
      </c>
      <c r="J24" s="403">
        <f t="shared" si="0"/>
        <v>0</v>
      </c>
    </row>
    <row r="25" spans="1:10" ht="15">
      <c r="A25" s="31"/>
      <c r="B25" s="1"/>
      <c r="C25" s="707" t="s">
        <v>34</v>
      </c>
      <c r="D25" s="707"/>
      <c r="E25" s="39">
        <v>10</v>
      </c>
      <c r="F25" s="40">
        <f>+BG!F25</f>
        <v>0</v>
      </c>
      <c r="G25" s="538">
        <f>+BG!G25</f>
        <v>0</v>
      </c>
      <c r="H25" s="38">
        <v>0</v>
      </c>
      <c r="I25" s="403" t="s">
        <v>2544</v>
      </c>
      <c r="J25" s="403" t="e">
        <f t="shared" si="0"/>
        <v>#VALUE!</v>
      </c>
    </row>
    <row r="26" spans="1:10" ht="15">
      <c r="A26" s="31"/>
      <c r="B26" s="1"/>
      <c r="C26" s="707" t="s">
        <v>36</v>
      </c>
      <c r="D26" s="707"/>
      <c r="E26" s="39">
        <v>11</v>
      </c>
      <c r="F26" s="578">
        <f>+BG!F26</f>
        <v>57018386</v>
      </c>
      <c r="G26" s="538">
        <f>+'2023'!C186+'2023'!C178</f>
        <v>43214701</v>
      </c>
      <c r="H26" s="38">
        <f>+'2022'!C185</f>
        <v>59478525</v>
      </c>
      <c r="I26" s="403">
        <v>59478525</v>
      </c>
      <c r="J26" s="403">
        <f t="shared" si="0"/>
        <v>0</v>
      </c>
    </row>
    <row r="27" spans="1:10" ht="15">
      <c r="A27" s="31"/>
      <c r="B27" s="1"/>
      <c r="C27" s="707" t="s">
        <v>38</v>
      </c>
      <c r="D27" s="707"/>
      <c r="E27" s="39">
        <v>12</v>
      </c>
      <c r="F27" s="40">
        <f>+BG!F27</f>
        <v>0</v>
      </c>
      <c r="G27" s="538">
        <f>+BG!G27</f>
        <v>0</v>
      </c>
      <c r="H27" s="38">
        <v>0</v>
      </c>
      <c r="I27" s="403" t="s">
        <v>2544</v>
      </c>
      <c r="J27" s="403" t="e">
        <f t="shared" si="0"/>
        <v>#VALUE!</v>
      </c>
    </row>
    <row r="28" spans="1:10" ht="12.75">
      <c r="A28" s="31"/>
      <c r="B28" s="1"/>
      <c r="C28" s="709" t="s">
        <v>123</v>
      </c>
      <c r="D28" s="709"/>
      <c r="E28" s="37"/>
      <c r="F28" s="42">
        <f>SUM(F21:F27)</f>
        <v>16754103319.25</v>
      </c>
      <c r="G28" s="42">
        <f>SUM(G21:G27)</f>
        <v>16448270845</v>
      </c>
      <c r="H28" s="42">
        <f>SUM(H21:H27)</f>
        <v>14146695963</v>
      </c>
      <c r="I28" s="403">
        <v>14146695963</v>
      </c>
      <c r="J28" s="403">
        <f t="shared" si="0"/>
        <v>0</v>
      </c>
    </row>
    <row r="29" spans="1:10" ht="15">
      <c r="A29" s="31"/>
      <c r="B29" s="710" t="s">
        <v>124</v>
      </c>
      <c r="C29" s="710"/>
      <c r="D29" s="710"/>
      <c r="E29" s="44"/>
      <c r="F29" s="45">
        <f>+F19+F28</f>
        <v>42736915326.25</v>
      </c>
      <c r="G29" s="46">
        <f>+G19+G28</f>
        <v>41512019431</v>
      </c>
      <c r="H29" s="46">
        <f>+H19+H28</f>
        <v>39319328980</v>
      </c>
      <c r="I29" s="403">
        <v>39319328980</v>
      </c>
      <c r="J29" s="403">
        <f t="shared" si="0"/>
        <v>0</v>
      </c>
    </row>
    <row r="30" spans="1:10" ht="17.25">
      <c r="B30" s="708" t="s">
        <v>125</v>
      </c>
      <c r="C30" s="708"/>
      <c r="D30" s="708"/>
      <c r="E30" s="35"/>
      <c r="F30" s="47"/>
      <c r="G30" s="48"/>
      <c r="H30" s="48"/>
      <c r="J30" s="403">
        <f t="shared" si="0"/>
        <v>0</v>
      </c>
    </row>
    <row r="31" spans="1:10" ht="12.75">
      <c r="A31" s="31"/>
      <c r="B31" s="36" t="s">
        <v>126</v>
      </c>
      <c r="C31" s="1"/>
      <c r="D31" s="1"/>
      <c r="E31" s="37"/>
      <c r="F31" s="49">
        <v>-1</v>
      </c>
      <c r="G31" s="38"/>
      <c r="H31" s="38"/>
      <c r="J31" s="403">
        <f t="shared" si="0"/>
        <v>0</v>
      </c>
    </row>
    <row r="32" spans="1:10" ht="15">
      <c r="A32" s="31"/>
      <c r="B32" s="1"/>
      <c r="C32" s="707" t="s">
        <v>40</v>
      </c>
      <c r="D32" s="707"/>
      <c r="E32" s="39">
        <v>13</v>
      </c>
      <c r="F32" s="578">
        <f>+BG!F32</f>
        <v>2644381490</v>
      </c>
      <c r="G32" s="579">
        <f>-'2023'!C213+'2023'!C212+'2023'!C209+'2023'!C210+'2023'!C211-878350</f>
        <v>3358321624</v>
      </c>
      <c r="H32" s="549">
        <f>-'2022'!C211+'2022'!C210</f>
        <v>5713906583</v>
      </c>
      <c r="I32" s="403">
        <v>5713906583</v>
      </c>
      <c r="J32" s="403">
        <f t="shared" si="0"/>
        <v>0</v>
      </c>
    </row>
    <row r="33" spans="1:10" ht="15">
      <c r="A33" s="31"/>
      <c r="B33" s="1"/>
      <c r="C33" s="714" t="s">
        <v>127</v>
      </c>
      <c r="D33" s="714"/>
      <c r="E33" s="39">
        <v>14</v>
      </c>
      <c r="F33" s="578">
        <f>+BG!F33</f>
        <v>10771180393</v>
      </c>
      <c r="G33" s="549">
        <f>-'2023'!C242+'2023'!C234</f>
        <v>7758314784</v>
      </c>
      <c r="H33" s="38">
        <f>-'2022'!C235</f>
        <v>5879615410</v>
      </c>
      <c r="I33" s="403">
        <v>5879615410</v>
      </c>
      <c r="J33" s="403">
        <f t="shared" si="0"/>
        <v>0</v>
      </c>
    </row>
    <row r="34" spans="1:10" ht="15">
      <c r="A34" s="31"/>
      <c r="B34" s="1"/>
      <c r="C34" s="707" t="s">
        <v>44</v>
      </c>
      <c r="D34" s="707"/>
      <c r="E34" s="39">
        <v>15</v>
      </c>
      <c r="F34" s="548">
        <f>+BG!F34</f>
        <v>0</v>
      </c>
      <c r="G34" s="549">
        <f>+BG!G34</f>
        <v>0</v>
      </c>
      <c r="H34" s="38">
        <v>0</v>
      </c>
      <c r="I34" s="403" t="s">
        <v>2544</v>
      </c>
      <c r="J34" s="403" t="e">
        <f t="shared" si="0"/>
        <v>#VALUE!</v>
      </c>
    </row>
    <row r="35" spans="1:10" ht="15">
      <c r="A35" s="31"/>
      <c r="B35" s="1"/>
      <c r="C35" s="707" t="s">
        <v>46</v>
      </c>
      <c r="D35" s="707"/>
      <c r="E35" s="39">
        <v>16</v>
      </c>
      <c r="F35" s="578">
        <f>+BG!F35</f>
        <v>59202877</v>
      </c>
      <c r="G35" s="549">
        <f>-'2023'!C217</f>
        <v>64956366</v>
      </c>
      <c r="H35" s="537">
        <f>-'2022'!C213</f>
        <v>65969765</v>
      </c>
      <c r="I35" s="403">
        <v>65969765</v>
      </c>
      <c r="J35" s="403">
        <f t="shared" si="0"/>
        <v>0</v>
      </c>
    </row>
    <row r="36" spans="1:10" ht="15">
      <c r="A36" s="31"/>
      <c r="B36" s="1"/>
      <c r="C36" s="707" t="s">
        <v>48</v>
      </c>
      <c r="D36" s="707"/>
      <c r="E36" s="39">
        <v>17</v>
      </c>
      <c r="F36" s="548">
        <f>+BG!F36</f>
        <v>6988762</v>
      </c>
      <c r="G36" s="549">
        <f>-'2023'!C224</f>
        <v>48222330</v>
      </c>
      <c r="H36" s="537">
        <f>-'2022'!C222</f>
        <v>160141616</v>
      </c>
      <c r="I36" s="403">
        <v>160141616</v>
      </c>
      <c r="J36" s="403">
        <f t="shared" si="0"/>
        <v>0</v>
      </c>
    </row>
    <row r="37" spans="1:10" ht="15">
      <c r="A37" s="31"/>
      <c r="B37" s="1"/>
      <c r="C37" s="707" t="s">
        <v>50</v>
      </c>
      <c r="D37" s="707"/>
      <c r="E37" s="39">
        <v>18</v>
      </c>
      <c r="F37" s="578">
        <f>+BG!F37</f>
        <v>3359122937</v>
      </c>
      <c r="G37" s="549">
        <f>-'2023'!C212-'2023'!C216-'2023'!C215</f>
        <v>1539431506</v>
      </c>
      <c r="H37" s="640">
        <f>-'2022'!C210-'2022'!C214-'2022'!C215</f>
        <v>1738224413</v>
      </c>
      <c r="I37" s="403">
        <v>1738224413</v>
      </c>
      <c r="J37" s="403">
        <f t="shared" si="0"/>
        <v>0</v>
      </c>
    </row>
    <row r="38" spans="1:10" ht="15">
      <c r="A38" s="31"/>
      <c r="B38" s="1"/>
      <c r="C38" s="707" t="s">
        <v>52</v>
      </c>
      <c r="D38" s="707"/>
      <c r="E38" s="39">
        <v>19</v>
      </c>
      <c r="F38" s="578">
        <f>+BG!F38</f>
        <v>1588588983</v>
      </c>
      <c r="G38" s="549">
        <f>-'2023'!C209-'2023'!C210-'2023'!C211-'2023'!C234</f>
        <v>493108795</v>
      </c>
      <c r="H38" s="640"/>
      <c r="J38" s="403">
        <f t="shared" si="0"/>
        <v>0</v>
      </c>
    </row>
    <row r="39" spans="1:10" ht="13.7" customHeight="1">
      <c r="A39" s="31"/>
      <c r="B39" s="1"/>
      <c r="C39" s="36" t="s">
        <v>128</v>
      </c>
      <c r="D39" s="1"/>
      <c r="E39" s="37"/>
      <c r="F39" s="42">
        <f>+F32+F33+F34+F35+F36+F37+F38</f>
        <v>18429465442</v>
      </c>
      <c r="G39" s="42">
        <f>SUM(G32:G38)</f>
        <v>13262355405</v>
      </c>
      <c r="H39" s="42">
        <f>SUM(H32:H38)</f>
        <v>13557857787</v>
      </c>
      <c r="I39" s="403">
        <v>13557857787</v>
      </c>
      <c r="J39" s="403">
        <f t="shared" si="0"/>
        <v>0</v>
      </c>
    </row>
    <row r="40" spans="1:10" ht="12.75">
      <c r="A40" s="31"/>
      <c r="B40" s="36" t="s">
        <v>129</v>
      </c>
      <c r="C40" s="1"/>
      <c r="D40" s="1"/>
      <c r="E40" s="37"/>
      <c r="F40" s="1"/>
      <c r="G40" s="1"/>
      <c r="H40" s="1"/>
      <c r="J40" s="403">
        <f t="shared" si="0"/>
        <v>0</v>
      </c>
    </row>
    <row r="41" spans="1:10" ht="15">
      <c r="A41" s="31"/>
      <c r="B41" s="1"/>
      <c r="C41" s="707" t="s">
        <v>130</v>
      </c>
      <c r="D41" s="707"/>
      <c r="E41" s="39">
        <v>14</v>
      </c>
      <c r="F41" s="578">
        <f>+BG!F41</f>
        <v>3358538065</v>
      </c>
      <c r="G41" s="40">
        <f>-'2023'!C256+'2023'!C251</f>
        <v>2302075249</v>
      </c>
      <c r="H41" s="38">
        <f>-'2022'!C249</f>
        <v>2472581827</v>
      </c>
      <c r="I41" s="403">
        <v>2472581827</v>
      </c>
      <c r="J41" s="403">
        <f t="shared" si="0"/>
        <v>0</v>
      </c>
    </row>
    <row r="42" spans="1:10" ht="15">
      <c r="A42" s="31"/>
      <c r="B42" s="1"/>
      <c r="C42" s="707" t="s">
        <v>131</v>
      </c>
      <c r="D42" s="707"/>
      <c r="E42" s="39">
        <v>19</v>
      </c>
      <c r="F42" s="578">
        <f>+BG!F42</f>
        <v>0</v>
      </c>
      <c r="G42" s="40">
        <f>-'2023'!C251</f>
        <v>737292837</v>
      </c>
      <c r="H42" s="640">
        <f>-'2022'!C252-'2022'!C253</f>
        <v>0</v>
      </c>
      <c r="I42" s="403" t="s">
        <v>2543</v>
      </c>
      <c r="J42" s="403" t="e">
        <f t="shared" si="0"/>
        <v>#VALUE!</v>
      </c>
    </row>
    <row r="43" spans="1:10" ht="12.75">
      <c r="A43" s="31"/>
      <c r="B43" s="1"/>
      <c r="C43" s="36" t="s">
        <v>132</v>
      </c>
      <c r="D43" s="1"/>
      <c r="E43" s="37"/>
      <c r="F43" s="42">
        <f>SUM(F41:F42)</f>
        <v>3358538065</v>
      </c>
      <c r="G43" s="42">
        <f>SUM(G41:G42)</f>
        <v>3039368086</v>
      </c>
      <c r="H43" s="42">
        <f>SUM(H41:H42)</f>
        <v>2472581827</v>
      </c>
      <c r="I43" s="403">
        <v>2472581827</v>
      </c>
      <c r="J43" s="403">
        <f t="shared" si="0"/>
        <v>0</v>
      </c>
    </row>
    <row r="44" spans="1:10" ht="6" customHeight="1">
      <c r="A44" s="31"/>
      <c r="B44" s="1"/>
      <c r="C44" s="1"/>
      <c r="D44" s="50"/>
      <c r="E44" s="51"/>
      <c r="F44" s="50"/>
      <c r="G44" s="38"/>
      <c r="H44" s="38"/>
      <c r="J44" s="403">
        <f t="shared" si="0"/>
        <v>0</v>
      </c>
    </row>
    <row r="45" spans="1:10" ht="15">
      <c r="A45" s="31"/>
      <c r="B45" s="708" t="s">
        <v>133</v>
      </c>
      <c r="C45" s="708"/>
      <c r="D45" s="708"/>
      <c r="E45" s="52"/>
      <c r="F45" s="45">
        <f>+F39+F43</f>
        <v>21788003507</v>
      </c>
      <c r="G45" s="45">
        <f>+G39+G43</f>
        <v>16301723491</v>
      </c>
      <c r="H45" s="45">
        <f>+H39+H43</f>
        <v>16030439614</v>
      </c>
      <c r="I45" s="403">
        <v>16030439614</v>
      </c>
      <c r="J45" s="403">
        <f t="shared" si="0"/>
        <v>0</v>
      </c>
    </row>
    <row r="46" spans="1:10" ht="15">
      <c r="B46" s="708" t="s">
        <v>134</v>
      </c>
      <c r="C46" s="708"/>
      <c r="D46" s="708"/>
      <c r="E46" s="35"/>
      <c r="F46"/>
      <c r="G46"/>
      <c r="H46"/>
      <c r="J46" s="403">
        <f t="shared" si="0"/>
        <v>0</v>
      </c>
    </row>
    <row r="47" spans="1:10" ht="15">
      <c r="A47" s="31"/>
      <c r="B47" s="1"/>
      <c r="C47" s="707" t="s">
        <v>56</v>
      </c>
      <c r="D47" s="707"/>
      <c r="E47" s="39">
        <v>20</v>
      </c>
      <c r="F47" s="40">
        <f>+BG!F47</f>
        <v>15000000000</v>
      </c>
      <c r="G47" s="40">
        <f>-'2023'!C263</f>
        <v>15000000000</v>
      </c>
      <c r="H47" s="40">
        <f>-'2022'!C262</f>
        <v>15000000000</v>
      </c>
      <c r="I47" s="403">
        <v>15000000000</v>
      </c>
      <c r="J47" s="403">
        <f t="shared" si="0"/>
        <v>0</v>
      </c>
    </row>
    <row r="48" spans="1:10" ht="15">
      <c r="A48" s="31"/>
      <c r="B48" s="1"/>
      <c r="C48" s="707" t="s">
        <v>58</v>
      </c>
      <c r="D48" s="707"/>
      <c r="E48" s="27">
        <v>21</v>
      </c>
      <c r="F48" s="40">
        <f>+BG!F48</f>
        <v>1815870408</v>
      </c>
      <c r="G48" s="40">
        <f>-'2023'!C267</f>
        <v>1815870408</v>
      </c>
      <c r="H48" s="40">
        <f>-'2022'!C266</f>
        <v>1815870408</v>
      </c>
      <c r="I48" s="403">
        <v>1815870408</v>
      </c>
      <c r="J48" s="403">
        <f t="shared" si="0"/>
        <v>0</v>
      </c>
    </row>
    <row r="49" spans="1:11" ht="15">
      <c r="A49" s="41"/>
      <c r="B49" s="1"/>
      <c r="C49" s="707" t="s">
        <v>60</v>
      </c>
      <c r="D49" s="707"/>
      <c r="E49" s="27">
        <v>21</v>
      </c>
      <c r="F49" s="576">
        <f>+BG!F49</f>
        <v>1291637728</v>
      </c>
      <c r="G49" s="40">
        <f>-'2023'!C266</f>
        <v>1171598793</v>
      </c>
      <c r="H49" s="40">
        <f>-'2022'!C265</f>
        <v>1143468513</v>
      </c>
      <c r="I49" s="403">
        <v>1143468513</v>
      </c>
      <c r="J49" s="403">
        <f t="shared" si="0"/>
        <v>0</v>
      </c>
    </row>
    <row r="50" spans="1:11" ht="15">
      <c r="A50" s="31"/>
      <c r="B50" s="1"/>
      <c r="C50" s="707" t="s">
        <v>998</v>
      </c>
      <c r="D50" s="707"/>
      <c r="E50" s="27">
        <v>21</v>
      </c>
      <c r="F50" s="40">
        <f>+BG!F50</f>
        <v>1252221963</v>
      </c>
      <c r="G50" s="40">
        <f>-'2023'!C268</f>
        <v>1252221963</v>
      </c>
      <c r="H50" s="40">
        <f>-'2022'!C267</f>
        <v>1252221963</v>
      </c>
      <c r="I50" s="403">
        <v>1252221963</v>
      </c>
      <c r="J50" s="403">
        <f t="shared" si="0"/>
        <v>0</v>
      </c>
    </row>
    <row r="51" spans="1:11" ht="15">
      <c r="A51" s="31"/>
      <c r="B51" s="1"/>
      <c r="C51" s="707" t="s">
        <v>999</v>
      </c>
      <c r="D51" s="707"/>
      <c r="E51" s="27">
        <v>21</v>
      </c>
      <c r="F51" s="576">
        <f>+BG!F51</f>
        <v>0</v>
      </c>
      <c r="G51" s="40">
        <f>-'2023'!C269</f>
        <v>534475314</v>
      </c>
      <c r="H51" s="40">
        <f>-'2022'!C268</f>
        <v>562605594</v>
      </c>
      <c r="I51" s="403">
        <v>562605594</v>
      </c>
      <c r="J51" s="403">
        <f t="shared" si="0"/>
        <v>0</v>
      </c>
    </row>
    <row r="52" spans="1:11" ht="15">
      <c r="A52" s="31"/>
      <c r="B52" s="1"/>
      <c r="C52" s="707" t="s">
        <v>63</v>
      </c>
      <c r="D52" s="707"/>
      <c r="E52" s="39">
        <v>22</v>
      </c>
      <c r="F52" s="40">
        <f>+BG!F52</f>
        <v>0</v>
      </c>
      <c r="G52" s="40">
        <f>+BG!G52</f>
        <v>0</v>
      </c>
      <c r="H52" s="40">
        <v>0</v>
      </c>
      <c r="I52" s="403" t="s">
        <v>2543</v>
      </c>
      <c r="J52" s="403" t="e">
        <f t="shared" si="0"/>
        <v>#VALUE!</v>
      </c>
    </row>
    <row r="53" spans="1:11" ht="15">
      <c r="A53" s="31"/>
      <c r="B53" s="1"/>
      <c r="C53" s="707" t="s">
        <v>65</v>
      </c>
      <c r="D53" s="707"/>
      <c r="E53" s="39">
        <v>23</v>
      </c>
      <c r="F53" s="576">
        <f>+BG!F53</f>
        <v>1589181720</v>
      </c>
      <c r="G53" s="40">
        <f>-'2023'!C274-'2023'!C278</f>
        <v>5436129462</v>
      </c>
      <c r="H53" s="40">
        <f>-'2022'!C273-'2022'!C277</f>
        <v>3514722888</v>
      </c>
      <c r="I53" s="403">
        <v>3514722888</v>
      </c>
      <c r="J53" s="403">
        <f t="shared" si="0"/>
        <v>0</v>
      </c>
    </row>
    <row r="54" spans="1:11" ht="12.75">
      <c r="A54" s="31"/>
      <c r="B54" s="1"/>
      <c r="C54" s="706" t="s">
        <v>135</v>
      </c>
      <c r="D54" s="706"/>
      <c r="E54" s="37"/>
      <c r="F54" s="40">
        <f>+BG!F54</f>
        <v>20948911819</v>
      </c>
      <c r="G54" s="40">
        <f>SUM(G47:G53)</f>
        <v>25210295940</v>
      </c>
      <c r="H54" s="40">
        <f>SUM(H47:H53)</f>
        <v>23288889366</v>
      </c>
      <c r="I54" s="403">
        <v>23288889366</v>
      </c>
      <c r="J54" s="403">
        <f t="shared" si="0"/>
        <v>0</v>
      </c>
    </row>
    <row r="55" spans="1:11" ht="15">
      <c r="A55" s="31"/>
      <c r="B55" s="1"/>
      <c r="C55" s="707" t="s">
        <v>67</v>
      </c>
      <c r="D55" s="707"/>
      <c r="E55" s="39">
        <v>24</v>
      </c>
      <c r="F55" s="40">
        <f>+BG!F55</f>
        <v>0</v>
      </c>
      <c r="G55" s="40">
        <f>+BG!G55</f>
        <v>0</v>
      </c>
      <c r="H55" s="40">
        <v>0</v>
      </c>
      <c r="I55" s="403" t="s">
        <v>2543</v>
      </c>
      <c r="J55" s="403" t="e">
        <f t="shared" si="0"/>
        <v>#VALUE!</v>
      </c>
    </row>
    <row r="56" spans="1:11" ht="15">
      <c r="A56" s="31"/>
      <c r="B56" s="708" t="s">
        <v>136</v>
      </c>
      <c r="C56" s="708"/>
      <c r="D56" s="708"/>
      <c r="E56" s="52"/>
      <c r="F56" s="53">
        <f>F54</f>
        <v>20948911819</v>
      </c>
      <c r="G56" s="53">
        <f>G54</f>
        <v>25210295940</v>
      </c>
      <c r="H56" s="53">
        <f>H54</f>
        <v>23288889366</v>
      </c>
      <c r="I56" s="403">
        <v>23288889366</v>
      </c>
      <c r="J56" s="403">
        <f t="shared" si="0"/>
        <v>0</v>
      </c>
    </row>
    <row r="57" spans="1:11" ht="15">
      <c r="A57" s="31"/>
      <c r="B57" s="708" t="s">
        <v>137</v>
      </c>
      <c r="C57" s="708"/>
      <c r="D57" s="708"/>
      <c r="E57" s="54"/>
      <c r="F57" s="53">
        <f>+F45+F56</f>
        <v>42736915326</v>
      </c>
      <c r="G57" s="53">
        <f>+G45+G56</f>
        <v>41512019431</v>
      </c>
      <c r="H57" s="53">
        <f>+H45+H56</f>
        <v>39319328980</v>
      </c>
      <c r="I57" s="403">
        <v>39319328980</v>
      </c>
      <c r="J57" s="403">
        <f t="shared" si="0"/>
        <v>0</v>
      </c>
    </row>
    <row r="58" spans="1:11" ht="12.75">
      <c r="A58" s="31"/>
      <c r="B58" s="36"/>
      <c r="C58" s="1"/>
      <c r="D58" s="1"/>
      <c r="E58" s="37"/>
      <c r="F58" s="55">
        <f>+F57-'2024'!C255-'2024'!C274</f>
        <v>285413087</v>
      </c>
      <c r="G58" s="55">
        <f>+G57+'2023'!C258+'2023'!C277</f>
        <v>-466859449</v>
      </c>
      <c r="H58" s="55">
        <f>+H57+'2022'!C257+'2022'!C276</f>
        <v>13391023</v>
      </c>
      <c r="I58" s="403" t="s">
        <v>2544</v>
      </c>
    </row>
    <row r="59" spans="1:11" ht="12">
      <c r="B59" s="31" t="s">
        <v>138</v>
      </c>
      <c r="C59" s="31"/>
      <c r="D59" s="31"/>
      <c r="E59" s="56"/>
      <c r="F59" s="31"/>
      <c r="G59" s="31"/>
      <c r="H59" s="31"/>
    </row>
    <row r="60" spans="1:11" ht="12">
      <c r="A60" s="31"/>
      <c r="B60" s="57"/>
      <c r="C60" s="31"/>
      <c r="D60" s="31"/>
      <c r="E60" s="56"/>
      <c r="F60" s="41">
        <f>+F29-F45-F56</f>
        <v>0.25</v>
      </c>
      <c r="G60" s="547">
        <f>+F53-G53</f>
        <v>-3846947742</v>
      </c>
      <c r="H60" s="547">
        <f>+G53-H53</f>
        <v>1921406574</v>
      </c>
      <c r="I60" s="547">
        <f>+H53-I53</f>
        <v>0</v>
      </c>
    </row>
    <row r="61" spans="1:11" ht="12">
      <c r="A61" s="31"/>
      <c r="B61" s="57"/>
      <c r="C61" s="31"/>
      <c r="D61" s="31"/>
      <c r="E61" s="56"/>
      <c r="F61" s="31"/>
      <c r="G61" s="58"/>
      <c r="H61" s="58"/>
    </row>
    <row r="62" spans="1:11" ht="12">
      <c r="A62" s="31"/>
      <c r="B62" s="57"/>
      <c r="C62" s="31"/>
      <c r="D62" s="31"/>
      <c r="E62" s="56"/>
      <c r="F62" s="31"/>
      <c r="G62" s="58"/>
      <c r="H62" s="58"/>
    </row>
    <row r="63" spans="1:11" ht="12">
      <c r="A63" s="31"/>
      <c r="B63" s="31"/>
      <c r="C63" s="31"/>
      <c r="D63" s="31"/>
      <c r="E63" s="56"/>
      <c r="F63" s="31"/>
      <c r="G63" s="31"/>
      <c r="H63" s="31"/>
    </row>
    <row r="64" spans="1:11" s="62" customFormat="1" ht="15">
      <c r="A64" s="59"/>
      <c r="B64" s="60"/>
      <c r="C64" s="60"/>
      <c r="D64" s="60"/>
      <c r="E64" s="61"/>
      <c r="F64" s="703"/>
      <c r="G64" s="703"/>
      <c r="I64" s="404"/>
      <c r="J64" s="404"/>
      <c r="K64" s="404"/>
    </row>
    <row r="65" spans="1:11" s="62" customFormat="1" ht="15.75">
      <c r="B65" s="63"/>
      <c r="C65" s="63"/>
      <c r="D65" s="64"/>
      <c r="E65" s="65"/>
      <c r="F65" s="704"/>
      <c r="G65" s="704"/>
      <c r="I65" s="404"/>
      <c r="J65" s="404"/>
      <c r="K65" s="404"/>
    </row>
    <row r="66" spans="1:11" s="62" customFormat="1" ht="15.75">
      <c r="A66" s="59"/>
      <c r="B66" s="59"/>
      <c r="C66" s="59"/>
      <c r="D66" s="66"/>
      <c r="E66" s="67"/>
      <c r="F66" s="66"/>
      <c r="G66" s="59"/>
      <c r="H66" s="59"/>
      <c r="I66" s="404"/>
      <c r="J66" s="404"/>
      <c r="K66" s="404"/>
    </row>
    <row r="67" spans="1:11" s="62" customFormat="1" ht="15.75">
      <c r="A67" s="59"/>
      <c r="B67" s="59"/>
      <c r="C67" s="59"/>
      <c r="D67" s="66"/>
      <c r="E67" s="67"/>
      <c r="F67" s="66"/>
      <c r="G67" s="59"/>
      <c r="H67" s="59"/>
      <c r="I67" s="404"/>
      <c r="J67" s="404"/>
      <c r="K67" s="404"/>
    </row>
    <row r="68" spans="1:11" s="62" customFormat="1" ht="15.75">
      <c r="A68" s="59"/>
      <c r="B68" s="59"/>
      <c r="C68" s="59"/>
      <c r="D68" s="66"/>
      <c r="E68" s="67"/>
      <c r="F68" s="66"/>
      <c r="G68" s="59"/>
      <c r="H68" s="59"/>
      <c r="I68" s="404"/>
      <c r="J68" s="404"/>
      <c r="K68" s="404"/>
    </row>
    <row r="69" spans="1:11" s="62" customFormat="1" ht="15">
      <c r="E69" s="68"/>
      <c r="F69" s="703"/>
      <c r="G69" s="703"/>
      <c r="I69" s="404"/>
      <c r="J69" s="404"/>
      <c r="K69" s="404"/>
    </row>
    <row r="70" spans="1:11" s="62" customFormat="1" ht="15.75">
      <c r="B70" s="66"/>
      <c r="C70" s="66"/>
      <c r="D70" s="66"/>
      <c r="E70" s="67"/>
      <c r="F70" s="704"/>
      <c r="G70" s="704"/>
      <c r="I70" s="404"/>
      <c r="J70" s="404"/>
      <c r="K70" s="404"/>
    </row>
    <row r="71" spans="1:11" s="66" customFormat="1" ht="15.75">
      <c r="B71" s="705"/>
      <c r="C71" s="705"/>
      <c r="D71" s="705"/>
      <c r="E71" s="67"/>
      <c r="I71" s="405"/>
      <c r="J71" s="405"/>
      <c r="K71" s="405"/>
    </row>
    <row r="72" spans="1:11" ht="12.75">
      <c r="A72" s="1"/>
      <c r="B72" s="1"/>
      <c r="C72" s="38"/>
      <c r="D72" s="3"/>
      <c r="E72" s="37"/>
      <c r="F72" s="3"/>
      <c r="G72" s="1"/>
      <c r="H72" s="1"/>
    </row>
    <row r="73" spans="1:11">
      <c r="C73" s="69"/>
      <c r="D73" s="70"/>
      <c r="E73" s="71"/>
      <c r="F73" s="70"/>
    </row>
    <row r="74" spans="1:11">
      <c r="D74" s="72"/>
      <c r="E74" s="73"/>
      <c r="F74" s="72"/>
    </row>
    <row r="75" spans="1:11">
      <c r="D75" s="72"/>
      <c r="E75" s="73"/>
      <c r="F75" s="72"/>
    </row>
    <row r="76" spans="1:11">
      <c r="D76" s="72"/>
      <c r="E76" s="73"/>
      <c r="F76" s="72"/>
    </row>
    <row r="77" spans="1:11">
      <c r="D77" s="72"/>
      <c r="E77" s="73"/>
      <c r="F77" s="72"/>
    </row>
    <row r="78" spans="1:11">
      <c r="D78" s="72"/>
      <c r="E78" s="73"/>
      <c r="F78" s="72"/>
    </row>
    <row r="79" spans="1:11">
      <c r="E79" s="74"/>
    </row>
    <row r="80" spans="1:11">
      <c r="C80" s="75"/>
      <c r="E80" s="74"/>
    </row>
    <row r="81" spans="3:6">
      <c r="C81" s="69"/>
      <c r="D81" s="70"/>
      <c r="E81" s="71"/>
      <c r="F81" s="70"/>
    </row>
    <row r="82" spans="3:6">
      <c r="D82" s="70"/>
      <c r="E82" s="76"/>
      <c r="F82" s="70"/>
    </row>
  </sheetData>
  <mergeCells count="45">
    <mergeCell ref="F69:G69"/>
    <mergeCell ref="F70:G70"/>
    <mergeCell ref="B71:D71"/>
    <mergeCell ref="C54:D54"/>
    <mergeCell ref="C55:D55"/>
    <mergeCell ref="B56:D56"/>
    <mergeCell ref="B57:D57"/>
    <mergeCell ref="F64:G64"/>
    <mergeCell ref="F65:G65"/>
    <mergeCell ref="C53:D53"/>
    <mergeCell ref="C38:D38"/>
    <mergeCell ref="C41:D41"/>
    <mergeCell ref="C42:D42"/>
    <mergeCell ref="B45:D45"/>
    <mergeCell ref="B46:D46"/>
    <mergeCell ref="C47:D47"/>
    <mergeCell ref="C48:D48"/>
    <mergeCell ref="C49:D49"/>
    <mergeCell ref="C50:D50"/>
    <mergeCell ref="C51:D51"/>
    <mergeCell ref="C52:D52"/>
    <mergeCell ref="C37:D37"/>
    <mergeCell ref="C25:D25"/>
    <mergeCell ref="C26:D26"/>
    <mergeCell ref="C27:D27"/>
    <mergeCell ref="C28:D28"/>
    <mergeCell ref="B29:D29"/>
    <mergeCell ref="B30:D30"/>
    <mergeCell ref="C32:D32"/>
    <mergeCell ref="C33:D33"/>
    <mergeCell ref="C34:D34"/>
    <mergeCell ref="C35:D35"/>
    <mergeCell ref="C36:D36"/>
    <mergeCell ref="C24:D24"/>
    <mergeCell ref="A7:G7"/>
    <mergeCell ref="A8:G8"/>
    <mergeCell ref="A9:G9"/>
    <mergeCell ref="B12:D12"/>
    <mergeCell ref="C14:D14"/>
    <mergeCell ref="C15:D15"/>
    <mergeCell ref="C16:D16"/>
    <mergeCell ref="C17:D17"/>
    <mergeCell ref="C18:D18"/>
    <mergeCell ref="C21:D21"/>
    <mergeCell ref="C23:D23"/>
  </mergeCells>
  <hyperlinks>
    <hyperlink ref="E14" location="'Nota 3'!A1" display="'Nota 3'!A1" xr:uid="{00000000-0004-0000-0700-000000000000}"/>
    <hyperlink ref="E15" location="'Nota 4'!A1" display="'Nota 4'!A1" xr:uid="{00000000-0004-0000-0700-000001000000}"/>
    <hyperlink ref="E16" location="'Nota 5'!A1" display="'Nota 5'!A1" xr:uid="{00000000-0004-0000-0700-000002000000}"/>
    <hyperlink ref="E17" location="'Nota 6'!A1" display="'Nota 6'!A1" xr:uid="{00000000-0004-0000-0700-000003000000}"/>
    <hyperlink ref="E18" location="'Nota 7'!A1" display="'Nota 7'!A1" xr:uid="{00000000-0004-0000-0700-000004000000}"/>
    <hyperlink ref="E21" location="'Nota 6'!A1" display="'Nota 6'!A1" xr:uid="{00000000-0004-0000-0700-000005000000}"/>
    <hyperlink ref="E23" location="'Nota 8'!A1" display="'Nota 8'!A1" xr:uid="{00000000-0004-0000-0700-000006000000}"/>
    <hyperlink ref="E24" location="'Nota 9'!A1" display="'Nota 9'!A1" xr:uid="{00000000-0004-0000-0700-000007000000}"/>
    <hyperlink ref="E25" location="'Nota 10'!A1" display="'Nota 10'!A1" xr:uid="{00000000-0004-0000-0700-000008000000}"/>
    <hyperlink ref="E26" location="'Nota 11'!A1" display="'Nota 11'!A1" xr:uid="{00000000-0004-0000-0700-000009000000}"/>
    <hyperlink ref="E27" location="'Nota 12'!A1" display="'Nota 12'!A1" xr:uid="{00000000-0004-0000-0700-00000A000000}"/>
    <hyperlink ref="E32" location="'Nota 13'!A1" display="'Nota 13'!A1" xr:uid="{00000000-0004-0000-0700-00000B000000}"/>
    <hyperlink ref="E33" location="'Nota 14'!A1" display="'Nota 14'!A1" xr:uid="{00000000-0004-0000-0700-00000C000000}"/>
    <hyperlink ref="E41" location="'Nota 14'!A1" display="'Nota 14'!A1" xr:uid="{00000000-0004-0000-0700-00000D000000}"/>
    <hyperlink ref="E34" location="'Nota 15'!A1" display="'Nota 15'!A1" xr:uid="{00000000-0004-0000-0700-00000E000000}"/>
    <hyperlink ref="E35" location="'Nota 16'!A1" display="'Nota 16'!A1" xr:uid="{00000000-0004-0000-0700-00000F000000}"/>
    <hyperlink ref="E36" location="'Nota 17'!A1" display="'Nota 17'!A1" xr:uid="{00000000-0004-0000-0700-000010000000}"/>
    <hyperlink ref="E37" location="'Nota 18'!A1" display="'Nota 18'!A1" xr:uid="{00000000-0004-0000-0700-000011000000}"/>
    <hyperlink ref="E38" location="'Nota 19'!A1" display="'Nota 19'!A1" xr:uid="{00000000-0004-0000-0700-000012000000}"/>
    <hyperlink ref="E42" location="'Nota 19'!A1" display="'Nota 19'!A1" xr:uid="{00000000-0004-0000-0700-000013000000}"/>
    <hyperlink ref="E47" location="'Nota 20'!A1" display="'Nota 20'!A1" xr:uid="{00000000-0004-0000-0700-000014000000}"/>
    <hyperlink ref="E52" location="'Nota 22'!A1" display="'Nota 22'!A1" xr:uid="{00000000-0004-0000-0700-000015000000}"/>
    <hyperlink ref="E48" location="' Nota 21'!A1" display="' Nota 21'!A1" xr:uid="{00000000-0004-0000-0700-000016000000}"/>
    <hyperlink ref="E49" location="' Nota 21'!A1" display="' Nota 21'!A1" xr:uid="{00000000-0004-0000-0700-000017000000}"/>
    <hyperlink ref="E50" location="' Nota 21'!A1" display="' Nota 21'!A1" xr:uid="{00000000-0004-0000-0700-000018000000}"/>
    <hyperlink ref="E51" location="' Nota 21'!A1" display="' Nota 21'!A1" xr:uid="{00000000-0004-0000-0700-000019000000}"/>
    <hyperlink ref="E53" location="'Nota 23'!A1" display="'Nota 23'!A1" xr:uid="{00000000-0004-0000-0700-00001A000000}"/>
    <hyperlink ref="E55" location="'Nota 24'!A1" display="'Nota 24'!A1" xr:uid="{00000000-0004-0000-0700-00001B000000}"/>
    <hyperlink ref="E1" location="Indice!A1" display="Indice" xr:uid="{00000000-0004-0000-0700-00001C000000}"/>
    <hyperlink ref="E22" location="'Nota 5'!A1" display="'Nota 5'!A1" xr:uid="{00000000-0004-0000-0700-00001D000000}"/>
  </hyperlinks>
  <pageMargins left="0.70866141732283472" right="0.70866141732283472" top="0.74803149606299213" bottom="0.74803149606299213" header="0.31496062992125984" footer="0.31496062992125984"/>
  <pageSetup paperSize="9" scale="67"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646"/>
  <sheetViews>
    <sheetView topLeftCell="A24" workbookViewId="0">
      <selection activeCell="C40" sqref="C40"/>
    </sheetView>
  </sheetViews>
  <sheetFormatPr baseColWidth="10" defaultRowHeight="15"/>
  <cols>
    <col min="2" max="2" width="24.85546875" bestFit="1" customWidth="1"/>
    <col min="3" max="3" width="16.7109375" style="502" bestFit="1" customWidth="1"/>
    <col min="4" max="4" width="15.140625" style="502" bestFit="1" customWidth="1"/>
    <col min="5" max="5" width="13" bestFit="1" customWidth="1"/>
    <col min="6" max="6" width="8.85546875" style="613" bestFit="1" customWidth="1"/>
    <col min="7" max="7" width="24.85546875" style="613" bestFit="1" customWidth="1"/>
    <col min="8" max="8" width="16" style="611" bestFit="1" customWidth="1"/>
    <col min="9" max="9" width="15.140625" style="611" bestFit="1" customWidth="1"/>
    <col min="10" max="10" width="12.5703125" bestFit="1" customWidth="1"/>
    <col min="11" max="11" width="14.140625" bestFit="1" customWidth="1"/>
  </cols>
  <sheetData>
    <row r="1" spans="1:10">
      <c r="A1" s="541" t="s">
        <v>1168</v>
      </c>
      <c r="B1" s="541" t="s">
        <v>1169</v>
      </c>
      <c r="C1" s="574" t="s">
        <v>1170</v>
      </c>
      <c r="D1" s="574" t="s">
        <v>1171</v>
      </c>
      <c r="E1" s="542" t="s">
        <v>1172</v>
      </c>
      <c r="F1" s="608" t="s">
        <v>1168</v>
      </c>
      <c r="G1" s="608" t="s">
        <v>1169</v>
      </c>
      <c r="H1" s="609" t="s">
        <v>2492</v>
      </c>
      <c r="I1" s="609" t="s">
        <v>2493</v>
      </c>
      <c r="J1" t="s">
        <v>1172</v>
      </c>
    </row>
    <row r="2" spans="1:10">
      <c r="A2" s="541" t="s">
        <v>1174</v>
      </c>
      <c r="B2" s="541" t="s">
        <v>484</v>
      </c>
      <c r="E2" s="543"/>
      <c r="F2" s="608" t="s">
        <v>1174</v>
      </c>
      <c r="G2" s="608" t="s">
        <v>484</v>
      </c>
      <c r="H2" s="610"/>
      <c r="I2" s="610"/>
    </row>
    <row r="3" spans="1:10">
      <c r="A3" s="541" t="s">
        <v>1175</v>
      </c>
      <c r="B3" s="541" t="s">
        <v>1176</v>
      </c>
      <c r="E3" s="543"/>
      <c r="F3" s="608" t="s">
        <v>1175</v>
      </c>
      <c r="G3" s="608" t="s">
        <v>1176</v>
      </c>
      <c r="H3" s="610"/>
      <c r="I3" s="610"/>
    </row>
    <row r="4" spans="1:10">
      <c r="A4" s="541" t="s">
        <v>1177</v>
      </c>
      <c r="B4" s="541" t="s">
        <v>1178</v>
      </c>
      <c r="E4" s="543"/>
      <c r="F4" s="608" t="s">
        <v>1177</v>
      </c>
      <c r="G4" s="608" t="s">
        <v>1178</v>
      </c>
      <c r="H4" s="610"/>
      <c r="I4" s="610"/>
    </row>
    <row r="5" spans="1:10">
      <c r="A5" s="541" t="s">
        <v>1179</v>
      </c>
      <c r="B5" s="541" t="s">
        <v>1180</v>
      </c>
      <c r="E5" s="543"/>
      <c r="F5" s="608" t="s">
        <v>1179</v>
      </c>
      <c r="G5" s="608" t="s">
        <v>1180</v>
      </c>
      <c r="H5" s="610"/>
      <c r="I5" s="610"/>
    </row>
    <row r="6" spans="1:10">
      <c r="A6" s="541" t="s">
        <v>1181</v>
      </c>
      <c r="B6" s="541" t="s">
        <v>1182</v>
      </c>
      <c r="C6" s="574">
        <v>2069729</v>
      </c>
      <c r="D6" s="574">
        <v>2069729</v>
      </c>
      <c r="E6" s="543"/>
      <c r="F6" s="608" t="s">
        <v>1181</v>
      </c>
      <c r="G6" s="608" t="s">
        <v>1182</v>
      </c>
      <c r="H6" s="609">
        <v>2069729</v>
      </c>
      <c r="I6" s="609">
        <v>2069729</v>
      </c>
    </row>
    <row r="7" spans="1:10">
      <c r="A7" s="541" t="s">
        <v>1183</v>
      </c>
      <c r="B7" s="541" t="s">
        <v>1184</v>
      </c>
      <c r="C7" s="574">
        <v>2218371</v>
      </c>
      <c r="D7" s="574">
        <v>2218371</v>
      </c>
      <c r="E7" s="543"/>
      <c r="F7" s="608" t="s">
        <v>1920</v>
      </c>
      <c r="G7" s="608" t="s">
        <v>965</v>
      </c>
      <c r="H7" s="609">
        <v>2218371</v>
      </c>
      <c r="I7" s="609">
        <v>2218371</v>
      </c>
    </row>
    <row r="8" spans="1:10">
      <c r="A8" s="541" t="s">
        <v>1825</v>
      </c>
      <c r="B8" s="541" t="s">
        <v>942</v>
      </c>
      <c r="C8" s="574">
        <v>13473054</v>
      </c>
      <c r="D8" s="574">
        <v>13473054</v>
      </c>
      <c r="E8" s="543"/>
      <c r="F8" s="608" t="s">
        <v>1825</v>
      </c>
      <c r="G8" s="608" t="s">
        <v>942</v>
      </c>
      <c r="H8" s="609">
        <v>13473054</v>
      </c>
      <c r="I8" s="609">
        <v>13473054</v>
      </c>
    </row>
    <row r="9" spans="1:10">
      <c r="A9" s="541" t="s">
        <v>1185</v>
      </c>
      <c r="B9" s="541" t="s">
        <v>1186</v>
      </c>
      <c r="C9" s="574">
        <v>1915000</v>
      </c>
      <c r="D9" s="574">
        <v>1915000</v>
      </c>
      <c r="E9" s="543"/>
      <c r="F9" s="608" t="s">
        <v>1921</v>
      </c>
      <c r="G9" s="608" t="s">
        <v>1922</v>
      </c>
      <c r="H9" s="609">
        <v>1915000</v>
      </c>
      <c r="I9" s="609">
        <v>1915000</v>
      </c>
    </row>
    <row r="10" spans="1:10">
      <c r="A10" s="541" t="s">
        <v>1187</v>
      </c>
      <c r="B10" s="541" t="s">
        <v>1188</v>
      </c>
      <c r="C10" s="574">
        <v>61042308</v>
      </c>
      <c r="D10" s="574">
        <v>61920658</v>
      </c>
      <c r="E10" s="543"/>
      <c r="F10" s="608" t="s">
        <v>1187</v>
      </c>
      <c r="G10" s="608" t="s">
        <v>1188</v>
      </c>
      <c r="H10" s="609">
        <v>61920658</v>
      </c>
      <c r="I10" s="609">
        <v>61920658</v>
      </c>
    </row>
    <row r="11" spans="1:10">
      <c r="A11" s="541" t="s">
        <v>1725</v>
      </c>
      <c r="B11" s="541" t="s">
        <v>1726</v>
      </c>
      <c r="C11" s="574"/>
      <c r="D11" s="574"/>
      <c r="E11" s="543"/>
      <c r="F11" s="608" t="s">
        <v>1179</v>
      </c>
      <c r="G11" s="608" t="s">
        <v>1180</v>
      </c>
      <c r="H11" s="609">
        <v>81596812</v>
      </c>
      <c r="I11" s="609">
        <v>81596812</v>
      </c>
    </row>
    <row r="12" spans="1:10" s="591" customFormat="1">
      <c r="A12" s="592" t="s">
        <v>1179</v>
      </c>
      <c r="B12" s="592" t="s">
        <v>1180</v>
      </c>
      <c r="C12" s="575">
        <f>SUM(C6:C11)</f>
        <v>80718462</v>
      </c>
      <c r="D12" s="575">
        <v>81596812</v>
      </c>
      <c r="E12" s="573"/>
      <c r="F12" s="608"/>
      <c r="G12" s="608"/>
      <c r="H12" s="609"/>
      <c r="I12" s="609"/>
    </row>
    <row r="13" spans="1:10">
      <c r="A13" s="541">
        <v>110111</v>
      </c>
      <c r="B13" s="541" t="s">
        <v>1190</v>
      </c>
      <c r="E13" s="543"/>
      <c r="F13" s="608" t="s">
        <v>1189</v>
      </c>
      <c r="G13" s="608" t="s">
        <v>1190</v>
      </c>
      <c r="H13" s="609"/>
      <c r="I13" s="609"/>
    </row>
    <row r="14" spans="1:10">
      <c r="A14" s="541">
        <v>110111001</v>
      </c>
      <c r="B14" s="541" t="s">
        <v>1191</v>
      </c>
      <c r="C14" s="609">
        <v>809878635</v>
      </c>
      <c r="D14" s="609">
        <v>809878635</v>
      </c>
      <c r="E14" s="543"/>
      <c r="F14" s="608" t="s">
        <v>2494</v>
      </c>
      <c r="G14" s="608" t="s">
        <v>1191</v>
      </c>
      <c r="H14" s="609">
        <v>809878635</v>
      </c>
      <c r="I14" s="609">
        <v>809878635</v>
      </c>
    </row>
    <row r="15" spans="1:10">
      <c r="A15" s="541">
        <v>110111002</v>
      </c>
      <c r="B15" s="541" t="s">
        <v>1192</v>
      </c>
      <c r="C15" s="609">
        <v>10750</v>
      </c>
      <c r="D15" s="609">
        <v>10750</v>
      </c>
      <c r="E15" s="543"/>
      <c r="F15" s="608" t="s">
        <v>2495</v>
      </c>
      <c r="G15" s="608" t="s">
        <v>1192</v>
      </c>
      <c r="H15" s="609">
        <v>10750</v>
      </c>
      <c r="I15" s="609">
        <v>10750</v>
      </c>
    </row>
    <row r="16" spans="1:10">
      <c r="A16" s="541">
        <v>110111003</v>
      </c>
      <c r="B16" s="541" t="s">
        <v>1193</v>
      </c>
      <c r="C16" s="610">
        <v>209180</v>
      </c>
      <c r="D16" s="610">
        <v>209180</v>
      </c>
      <c r="E16" s="543"/>
      <c r="F16" s="608" t="s">
        <v>2496</v>
      </c>
      <c r="G16" s="608" t="s">
        <v>1193</v>
      </c>
      <c r="H16" s="610">
        <v>209180</v>
      </c>
      <c r="I16" s="610">
        <v>209180</v>
      </c>
    </row>
    <row r="17" spans="1:9">
      <c r="A17" s="541">
        <v>110111004</v>
      </c>
      <c r="B17" s="541" t="s">
        <v>1727</v>
      </c>
      <c r="C17" s="609">
        <v>73109634</v>
      </c>
      <c r="D17" s="609">
        <v>73109634</v>
      </c>
      <c r="E17" s="543"/>
      <c r="F17" s="608" t="s">
        <v>2497</v>
      </c>
      <c r="G17" s="608" t="s">
        <v>1727</v>
      </c>
      <c r="H17" s="609">
        <v>73109634</v>
      </c>
      <c r="I17" s="609">
        <v>73109634</v>
      </c>
    </row>
    <row r="18" spans="1:9">
      <c r="A18" s="541">
        <v>110111006</v>
      </c>
      <c r="B18" s="541" t="s">
        <v>1728</v>
      </c>
      <c r="C18" s="609">
        <v>5978851</v>
      </c>
      <c r="D18" s="609">
        <v>5978851</v>
      </c>
      <c r="E18" s="543"/>
      <c r="F18" s="608" t="s">
        <v>2498</v>
      </c>
      <c r="G18" s="608" t="s">
        <v>1728</v>
      </c>
      <c r="H18" s="609">
        <v>5978851</v>
      </c>
      <c r="I18" s="609">
        <v>5978851</v>
      </c>
    </row>
    <row r="19" spans="1:9">
      <c r="A19" s="541">
        <v>110111007</v>
      </c>
      <c r="B19" s="541" t="s">
        <v>1729</v>
      </c>
      <c r="C19" s="609">
        <v>9603</v>
      </c>
      <c r="D19" s="609">
        <v>9603</v>
      </c>
      <c r="E19" s="543"/>
      <c r="F19" s="608" t="s">
        <v>2499</v>
      </c>
      <c r="G19" s="608" t="s">
        <v>1729</v>
      </c>
      <c r="H19" s="609">
        <v>9603</v>
      </c>
      <c r="I19" s="609">
        <v>9603</v>
      </c>
    </row>
    <row r="20" spans="1:9">
      <c r="A20" s="541">
        <v>110111008</v>
      </c>
      <c r="B20" s="541" t="s">
        <v>1730</v>
      </c>
      <c r="C20" s="609"/>
      <c r="D20" s="609"/>
      <c r="E20" s="543"/>
      <c r="F20" s="608" t="s">
        <v>2500</v>
      </c>
      <c r="G20" s="608" t="s">
        <v>1731</v>
      </c>
      <c r="H20" s="609">
        <v>9990001</v>
      </c>
      <c r="I20" s="609">
        <v>9990001</v>
      </c>
    </row>
    <row r="21" spans="1:9">
      <c r="A21" s="541">
        <v>110111009</v>
      </c>
      <c r="B21" s="541" t="s">
        <v>1731</v>
      </c>
      <c r="C21" s="609">
        <v>9990001</v>
      </c>
      <c r="D21" s="609">
        <v>9990001</v>
      </c>
      <c r="E21" s="543"/>
      <c r="F21" s="608" t="s">
        <v>2501</v>
      </c>
      <c r="G21" s="608" t="s">
        <v>1733</v>
      </c>
      <c r="H21" s="609">
        <v>981450</v>
      </c>
      <c r="I21" s="609">
        <v>981450</v>
      </c>
    </row>
    <row r="22" spans="1:9">
      <c r="A22" s="541">
        <v>110111010</v>
      </c>
      <c r="B22" s="541" t="s">
        <v>1732</v>
      </c>
      <c r="C22" s="609"/>
      <c r="D22" s="609"/>
      <c r="E22" s="543"/>
      <c r="F22" s="608" t="s">
        <v>2502</v>
      </c>
      <c r="G22" s="608" t="s">
        <v>1734</v>
      </c>
      <c r="H22" s="609">
        <v>5000000</v>
      </c>
      <c r="I22" s="609">
        <v>5000000</v>
      </c>
    </row>
    <row r="23" spans="1:9">
      <c r="A23" s="541">
        <v>110111011</v>
      </c>
      <c r="B23" s="541" t="s">
        <v>1733</v>
      </c>
      <c r="C23" s="609">
        <v>981450</v>
      </c>
      <c r="D23" s="609">
        <v>981450</v>
      </c>
      <c r="E23" s="543"/>
      <c r="F23" s="608" t="s">
        <v>2503</v>
      </c>
      <c r="G23" s="608" t="s">
        <v>1194</v>
      </c>
      <c r="H23" s="609">
        <v>10279777</v>
      </c>
      <c r="I23" s="609">
        <v>10279777</v>
      </c>
    </row>
    <row r="24" spans="1:9">
      <c r="A24" s="541">
        <v>110111012</v>
      </c>
      <c r="B24" s="541" t="s">
        <v>1734</v>
      </c>
      <c r="C24" s="609">
        <v>5000000</v>
      </c>
      <c r="D24" s="609">
        <v>5000000</v>
      </c>
      <c r="E24" s="543"/>
      <c r="F24" s="608" t="s">
        <v>2504</v>
      </c>
      <c r="G24" s="608" t="s">
        <v>1735</v>
      </c>
      <c r="H24" s="609">
        <v>5000000</v>
      </c>
      <c r="I24" s="609">
        <v>5000000</v>
      </c>
    </row>
    <row r="25" spans="1:9">
      <c r="A25" s="541">
        <v>110111013</v>
      </c>
      <c r="B25" s="541" t="s">
        <v>1194</v>
      </c>
      <c r="C25" s="609">
        <v>10279777</v>
      </c>
      <c r="D25" s="609">
        <v>10279777</v>
      </c>
      <c r="E25" s="543"/>
      <c r="F25" s="608" t="s">
        <v>2505</v>
      </c>
      <c r="G25" s="608" t="s">
        <v>1736</v>
      </c>
      <c r="H25" s="609">
        <v>5000000</v>
      </c>
      <c r="I25" s="609">
        <v>5000000</v>
      </c>
    </row>
    <row r="26" spans="1:9">
      <c r="A26" s="541">
        <v>110111014</v>
      </c>
      <c r="B26" s="541" t="s">
        <v>1735</v>
      </c>
      <c r="C26" s="609">
        <v>5000000</v>
      </c>
      <c r="D26" s="609">
        <v>5000000</v>
      </c>
      <c r="E26" s="543"/>
      <c r="F26" s="608" t="s">
        <v>2506</v>
      </c>
      <c r="G26" s="608" t="s">
        <v>1737</v>
      </c>
      <c r="H26" s="609">
        <v>5617500</v>
      </c>
      <c r="I26" s="609">
        <v>5617500</v>
      </c>
    </row>
    <row r="27" spans="1:9">
      <c r="A27" s="541">
        <v>110111015</v>
      </c>
      <c r="B27" s="541" t="s">
        <v>1736</v>
      </c>
      <c r="C27" s="609">
        <v>5000000</v>
      </c>
      <c r="D27" s="609">
        <v>5000000</v>
      </c>
      <c r="E27" s="543"/>
      <c r="F27" s="608" t="s">
        <v>2507</v>
      </c>
      <c r="G27" s="608" t="s">
        <v>943</v>
      </c>
      <c r="H27" s="609">
        <v>8837336</v>
      </c>
      <c r="I27" s="609">
        <v>8837336</v>
      </c>
    </row>
    <row r="28" spans="1:9">
      <c r="A28" s="541">
        <v>110111016</v>
      </c>
      <c r="B28" s="541" t="s">
        <v>1737</v>
      </c>
      <c r="C28" s="609">
        <v>5617500</v>
      </c>
      <c r="D28" s="609">
        <v>5617500</v>
      </c>
      <c r="E28" s="543"/>
      <c r="F28" s="608" t="s">
        <v>2508</v>
      </c>
      <c r="G28" s="608" t="s">
        <v>1195</v>
      </c>
      <c r="H28" s="609">
        <v>896770510</v>
      </c>
      <c r="I28" s="609">
        <v>896770510</v>
      </c>
    </row>
    <row r="29" spans="1:9">
      <c r="A29" s="541">
        <v>110111030</v>
      </c>
      <c r="B29" s="541" t="s">
        <v>943</v>
      </c>
      <c r="C29" s="609">
        <v>8837336</v>
      </c>
      <c r="D29" s="609">
        <v>8837336</v>
      </c>
      <c r="E29" s="543"/>
      <c r="F29" s="608" t="s">
        <v>2509</v>
      </c>
      <c r="G29" s="608" t="s">
        <v>1196</v>
      </c>
      <c r="H29" s="609">
        <v>30367680</v>
      </c>
      <c r="I29" s="609">
        <v>30367680</v>
      </c>
    </row>
    <row r="30" spans="1:9">
      <c r="A30" s="541">
        <v>110111031</v>
      </c>
      <c r="B30" s="541" t="s">
        <v>1195</v>
      </c>
      <c r="C30" s="609">
        <v>896770510</v>
      </c>
      <c r="D30" s="609">
        <v>896770510</v>
      </c>
      <c r="E30" s="543"/>
      <c r="F30" s="608" t="s">
        <v>2510</v>
      </c>
      <c r="G30" s="608" t="s">
        <v>1738</v>
      </c>
      <c r="H30" s="609">
        <v>36341999</v>
      </c>
      <c r="I30" s="609">
        <v>36341999</v>
      </c>
    </row>
    <row r="31" spans="1:9">
      <c r="A31" s="541">
        <v>110111032</v>
      </c>
      <c r="B31" s="541" t="s">
        <v>1196</v>
      </c>
      <c r="C31" s="609">
        <v>30367680</v>
      </c>
      <c r="D31" s="609">
        <v>30367680</v>
      </c>
      <c r="E31" s="543"/>
      <c r="F31" s="608" t="s">
        <v>2511</v>
      </c>
      <c r="G31" s="608" t="s">
        <v>1739</v>
      </c>
      <c r="H31" s="609">
        <v>381317</v>
      </c>
      <c r="I31" s="609">
        <v>381317</v>
      </c>
    </row>
    <row r="32" spans="1:9">
      <c r="A32" s="541">
        <v>110111033</v>
      </c>
      <c r="B32" s="541" t="s">
        <v>1738</v>
      </c>
      <c r="C32" s="609">
        <v>36341999</v>
      </c>
      <c r="D32" s="609">
        <v>36341999</v>
      </c>
      <c r="E32" s="543"/>
      <c r="F32" s="608" t="s">
        <v>2512</v>
      </c>
      <c r="G32" s="608" t="s">
        <v>1826</v>
      </c>
      <c r="H32" s="609">
        <v>3609344</v>
      </c>
      <c r="I32" s="609">
        <v>3609344</v>
      </c>
    </row>
    <row r="33" spans="1:9">
      <c r="A33" s="541">
        <v>110111034</v>
      </c>
      <c r="B33" s="541" t="s">
        <v>1739</v>
      </c>
      <c r="C33" s="609">
        <v>381317</v>
      </c>
      <c r="D33" s="609">
        <v>381317</v>
      </c>
      <c r="E33" s="543"/>
      <c r="F33" s="608" t="s">
        <v>1189</v>
      </c>
      <c r="G33" s="608" t="s">
        <v>1190</v>
      </c>
      <c r="H33" s="609">
        <v>1907373567</v>
      </c>
      <c r="I33" s="609">
        <v>1907373567</v>
      </c>
    </row>
    <row r="34" spans="1:9">
      <c r="A34" s="541">
        <v>110111035</v>
      </c>
      <c r="B34" s="541" t="s">
        <v>1826</v>
      </c>
      <c r="C34" s="609">
        <v>3609344</v>
      </c>
      <c r="D34" s="609">
        <v>3609344</v>
      </c>
      <c r="E34" s="543"/>
      <c r="F34" s="608" t="s">
        <v>1197</v>
      </c>
      <c r="G34" s="608" t="s">
        <v>1198</v>
      </c>
      <c r="H34" s="609"/>
      <c r="I34" s="609"/>
    </row>
    <row r="35" spans="1:9" s="591" customFormat="1">
      <c r="A35" s="592">
        <v>110111</v>
      </c>
      <c r="B35" s="592" t="s">
        <v>1190</v>
      </c>
      <c r="C35" s="609">
        <v>1907373567</v>
      </c>
      <c r="D35" s="609">
        <v>1907373567</v>
      </c>
      <c r="E35" s="573"/>
      <c r="F35" s="608" t="s">
        <v>1924</v>
      </c>
      <c r="G35" s="608" t="s">
        <v>1925</v>
      </c>
      <c r="H35" s="609">
        <v>2889238</v>
      </c>
      <c r="I35" s="609">
        <v>2889238</v>
      </c>
    </row>
    <row r="36" spans="1:9">
      <c r="A36" s="541">
        <v>110121</v>
      </c>
      <c r="B36" s="541" t="s">
        <v>1198</v>
      </c>
      <c r="C36" s="609"/>
      <c r="D36" s="609"/>
      <c r="E36" s="543"/>
      <c r="F36" s="608" t="s">
        <v>1197</v>
      </c>
      <c r="G36" s="608" t="s">
        <v>1198</v>
      </c>
      <c r="H36" s="609">
        <v>2889238</v>
      </c>
      <c r="I36" s="609">
        <v>2889238</v>
      </c>
    </row>
    <row r="37" spans="1:9">
      <c r="A37" s="541">
        <v>110121002</v>
      </c>
      <c r="B37" s="541" t="s">
        <v>1199</v>
      </c>
      <c r="C37" s="609">
        <v>2889238</v>
      </c>
      <c r="D37" s="609">
        <v>2889238</v>
      </c>
      <c r="E37" s="543"/>
      <c r="F37" s="608" t="s">
        <v>1177</v>
      </c>
      <c r="G37" s="608" t="s">
        <v>1178</v>
      </c>
      <c r="H37" s="609">
        <v>1991859617</v>
      </c>
      <c r="I37" s="609">
        <v>1991859617</v>
      </c>
    </row>
    <row r="38" spans="1:9">
      <c r="A38" s="541">
        <v>110121</v>
      </c>
      <c r="B38" s="541" t="s">
        <v>1198</v>
      </c>
      <c r="C38" s="609">
        <v>2889238</v>
      </c>
      <c r="D38" s="609">
        <v>2889238</v>
      </c>
      <c r="E38" s="543"/>
      <c r="F38" s="608"/>
      <c r="G38" s="608"/>
      <c r="H38" s="609"/>
      <c r="I38" s="609"/>
    </row>
    <row r="39" spans="1:9" s="591" customFormat="1">
      <c r="A39" s="592">
        <v>1101</v>
      </c>
      <c r="B39" s="592" t="s">
        <v>1178</v>
      </c>
      <c r="C39" s="610">
        <f>+C38+C35+C12</f>
        <v>1990981267</v>
      </c>
      <c r="D39" s="610">
        <v>1991859617</v>
      </c>
      <c r="E39" s="573"/>
      <c r="F39" s="608"/>
      <c r="G39" s="608"/>
      <c r="H39" s="609"/>
      <c r="I39" s="609"/>
    </row>
    <row r="40" spans="1:9">
      <c r="A40" s="541" t="s">
        <v>1200</v>
      </c>
      <c r="B40" s="541" t="s">
        <v>1201</v>
      </c>
      <c r="E40" s="543"/>
      <c r="F40" s="608" t="s">
        <v>1200</v>
      </c>
      <c r="G40" s="608" t="s">
        <v>1201</v>
      </c>
      <c r="H40" s="609"/>
      <c r="I40" s="609"/>
    </row>
    <row r="41" spans="1:9">
      <c r="A41" s="541" t="s">
        <v>1202</v>
      </c>
      <c r="B41" s="541" t="s">
        <v>1203</v>
      </c>
      <c r="E41" s="543"/>
      <c r="F41" s="608" t="s">
        <v>1202</v>
      </c>
      <c r="G41" s="608" t="s">
        <v>1203</v>
      </c>
      <c r="H41" s="609"/>
      <c r="I41" s="609"/>
    </row>
    <row r="42" spans="1:9">
      <c r="A42" s="541" t="s">
        <v>1204</v>
      </c>
      <c r="B42" s="541" t="s">
        <v>1740</v>
      </c>
      <c r="C42" s="609">
        <v>414739347</v>
      </c>
      <c r="D42" s="609">
        <v>414739347</v>
      </c>
      <c r="E42" s="543"/>
      <c r="F42" s="608" t="s">
        <v>1204</v>
      </c>
      <c r="G42" s="608" t="s">
        <v>1740</v>
      </c>
      <c r="H42" s="610">
        <v>414739347</v>
      </c>
      <c r="I42" s="610">
        <v>414739347</v>
      </c>
    </row>
    <row r="43" spans="1:9">
      <c r="A43" s="541" t="s">
        <v>1205</v>
      </c>
      <c r="B43" s="541" t="s">
        <v>1741</v>
      </c>
      <c r="C43" s="610">
        <v>723287887</v>
      </c>
      <c r="D43" s="610">
        <v>723287887</v>
      </c>
      <c r="E43" s="543"/>
      <c r="F43" s="608" t="s">
        <v>1205</v>
      </c>
      <c r="G43" s="608" t="s">
        <v>1741</v>
      </c>
      <c r="H43" s="609">
        <v>723287887</v>
      </c>
      <c r="I43" s="609">
        <v>723287887</v>
      </c>
    </row>
    <row r="44" spans="1:9">
      <c r="A44" s="541" t="s">
        <v>1206</v>
      </c>
      <c r="B44" s="541" t="s">
        <v>1207</v>
      </c>
      <c r="C44" s="610">
        <v>37329119</v>
      </c>
      <c r="D44" s="610">
        <v>37329119</v>
      </c>
      <c r="E44" s="543"/>
      <c r="F44" s="608" t="s">
        <v>1206</v>
      </c>
      <c r="G44" s="608" t="s">
        <v>1207</v>
      </c>
      <c r="H44" s="609">
        <v>37329119</v>
      </c>
      <c r="I44" s="609">
        <v>37329119</v>
      </c>
    </row>
    <row r="45" spans="1:9">
      <c r="A45" s="541" t="s">
        <v>1827</v>
      </c>
      <c r="B45" s="541" t="s">
        <v>1828</v>
      </c>
      <c r="C45" s="610">
        <v>-278967</v>
      </c>
      <c r="D45" s="610">
        <v>-278967</v>
      </c>
      <c r="E45" s="543"/>
      <c r="F45" s="608" t="s">
        <v>1827</v>
      </c>
      <c r="G45" s="608" t="s">
        <v>1828</v>
      </c>
      <c r="H45" s="609">
        <v>-278967</v>
      </c>
      <c r="I45" s="609">
        <v>-278967</v>
      </c>
    </row>
    <row r="46" spans="1:9">
      <c r="A46" s="541" t="s">
        <v>1742</v>
      </c>
      <c r="B46" s="541" t="s">
        <v>1743</v>
      </c>
      <c r="C46" s="609">
        <v>39044350</v>
      </c>
      <c r="D46" s="609">
        <v>39044350</v>
      </c>
      <c r="E46" s="543"/>
      <c r="F46" s="608" t="s">
        <v>1742</v>
      </c>
      <c r="G46" s="608" t="s">
        <v>1743</v>
      </c>
      <c r="H46" s="610">
        <v>39044350</v>
      </c>
      <c r="I46" s="610">
        <v>39044350</v>
      </c>
    </row>
    <row r="47" spans="1:9">
      <c r="A47" s="541" t="s">
        <v>1744</v>
      </c>
      <c r="B47" s="541" t="s">
        <v>1745</v>
      </c>
      <c r="C47" s="609">
        <v>28661273</v>
      </c>
      <c r="D47" s="609">
        <v>28661273</v>
      </c>
      <c r="E47" s="543"/>
      <c r="F47" s="608" t="s">
        <v>1744</v>
      </c>
      <c r="G47" s="608" t="s">
        <v>1745</v>
      </c>
      <c r="H47" s="610">
        <v>28661273</v>
      </c>
      <c r="I47" s="610">
        <v>28661273</v>
      </c>
    </row>
    <row r="48" spans="1:9">
      <c r="A48" s="541" t="s">
        <v>1829</v>
      </c>
      <c r="B48" s="541" t="s">
        <v>1830</v>
      </c>
      <c r="C48" s="609"/>
      <c r="D48" s="609"/>
      <c r="E48" s="543"/>
      <c r="F48" s="608" t="s">
        <v>1202</v>
      </c>
      <c r="G48" s="608" t="s">
        <v>1203</v>
      </c>
      <c r="H48" s="610">
        <v>1242783009</v>
      </c>
      <c r="I48" s="610">
        <v>1242783009</v>
      </c>
    </row>
    <row r="49" spans="1:11">
      <c r="A49" s="592" t="s">
        <v>1202</v>
      </c>
      <c r="B49" s="592" t="s">
        <v>1203</v>
      </c>
      <c r="C49" s="609">
        <v>1242783009</v>
      </c>
      <c r="D49" s="609">
        <v>1242783009</v>
      </c>
      <c r="E49" s="543"/>
      <c r="F49" s="608" t="s">
        <v>1208</v>
      </c>
      <c r="G49" s="608" t="s">
        <v>1209</v>
      </c>
      <c r="H49" s="609"/>
      <c r="I49" s="609"/>
    </row>
    <row r="50" spans="1:11">
      <c r="A50" s="541" t="s">
        <v>1208</v>
      </c>
      <c r="B50" s="541" t="s">
        <v>1209</v>
      </c>
      <c r="E50" s="543"/>
      <c r="F50" s="608" t="s">
        <v>1210</v>
      </c>
      <c r="G50" s="608" t="s">
        <v>1211</v>
      </c>
      <c r="H50" s="609">
        <v>3271735689</v>
      </c>
      <c r="I50" s="609">
        <v>3271735689</v>
      </c>
    </row>
    <row r="51" spans="1:11">
      <c r="A51" s="541" t="s">
        <v>1210</v>
      </c>
      <c r="B51" s="541" t="s">
        <v>1211</v>
      </c>
      <c r="C51" s="609">
        <v>3271735689</v>
      </c>
      <c r="D51" s="609">
        <v>3271735689</v>
      </c>
      <c r="E51" s="543"/>
      <c r="F51" s="608" t="s">
        <v>1831</v>
      </c>
      <c r="G51" s="608" t="s">
        <v>1832</v>
      </c>
      <c r="H51" s="609">
        <v>1047726502</v>
      </c>
      <c r="I51" s="609">
        <v>1047726502</v>
      </c>
      <c r="K51" s="407">
        <f>SUM(H51:H52)</f>
        <v>1069769585</v>
      </c>
    </row>
    <row r="52" spans="1:11">
      <c r="A52" s="541" t="s">
        <v>1831</v>
      </c>
      <c r="B52" s="541" t="s">
        <v>1832</v>
      </c>
      <c r="C52" s="609">
        <v>1069769585</v>
      </c>
      <c r="D52" s="609">
        <v>1069769585</v>
      </c>
      <c r="E52" s="543"/>
      <c r="F52" s="608" t="s">
        <v>2513</v>
      </c>
      <c r="G52" s="608" t="s">
        <v>2514</v>
      </c>
      <c r="H52" s="609">
        <v>22043083</v>
      </c>
      <c r="I52" s="609">
        <v>22043083</v>
      </c>
    </row>
    <row r="53" spans="1:11">
      <c r="A53" s="592" t="s">
        <v>1208</v>
      </c>
      <c r="B53" s="592" t="s">
        <v>1209</v>
      </c>
      <c r="C53" s="609">
        <v>4341505274</v>
      </c>
      <c r="D53" s="609">
        <v>4341505274</v>
      </c>
      <c r="E53" s="543"/>
      <c r="F53" s="608" t="s">
        <v>1208</v>
      </c>
      <c r="G53" s="608" t="s">
        <v>1209</v>
      </c>
      <c r="H53" s="609">
        <v>4341505274</v>
      </c>
      <c r="I53" s="609">
        <v>4341505274</v>
      </c>
    </row>
    <row r="54" spans="1:11">
      <c r="A54" s="541" t="s">
        <v>1212</v>
      </c>
      <c r="B54" s="541" t="s">
        <v>1213</v>
      </c>
      <c r="E54" s="543"/>
      <c r="F54" s="608" t="s">
        <v>1212</v>
      </c>
      <c r="G54" s="608" t="s">
        <v>1213</v>
      </c>
      <c r="H54" s="609"/>
      <c r="I54" s="609"/>
    </row>
    <row r="55" spans="1:11">
      <c r="A55" s="608"/>
      <c r="B55" s="608"/>
      <c r="C55" s="609"/>
      <c r="D55" s="609"/>
      <c r="E55" s="543"/>
      <c r="F55" s="608" t="s">
        <v>1926</v>
      </c>
      <c r="G55" s="608" t="s">
        <v>1214</v>
      </c>
      <c r="H55" s="609">
        <v>10496168</v>
      </c>
      <c r="I55" s="609">
        <v>10496168</v>
      </c>
    </row>
    <row r="56" spans="1:11">
      <c r="A56" s="608"/>
      <c r="B56" s="692" t="s">
        <v>1214</v>
      </c>
      <c r="C56" s="693">
        <v>10496168</v>
      </c>
      <c r="D56" s="693">
        <v>10496168</v>
      </c>
      <c r="E56" s="543"/>
      <c r="F56" s="608" t="s">
        <v>1927</v>
      </c>
      <c r="G56" s="608" t="s">
        <v>1928</v>
      </c>
      <c r="H56" s="609">
        <v>13376913</v>
      </c>
      <c r="I56" s="609">
        <v>13376913</v>
      </c>
    </row>
    <row r="57" spans="1:11">
      <c r="A57" s="608"/>
      <c r="B57" s="692" t="s">
        <v>1928</v>
      </c>
      <c r="C57" s="693">
        <v>13376913</v>
      </c>
      <c r="D57" s="693">
        <v>13376913</v>
      </c>
      <c r="E57" s="543"/>
      <c r="F57" s="608" t="s">
        <v>1931</v>
      </c>
      <c r="G57" s="608" t="s">
        <v>1215</v>
      </c>
      <c r="H57" s="609">
        <v>13989733</v>
      </c>
      <c r="I57" s="609">
        <v>13989733</v>
      </c>
    </row>
    <row r="58" spans="1:11">
      <c r="A58" s="608">
        <v>110221014</v>
      </c>
      <c r="B58" s="608" t="s">
        <v>1215</v>
      </c>
      <c r="C58" s="610">
        <v>13989733</v>
      </c>
      <c r="D58" s="610">
        <v>13989733</v>
      </c>
      <c r="E58" s="543"/>
      <c r="F58" s="608" t="s">
        <v>1212</v>
      </c>
      <c r="G58" s="608" t="s">
        <v>1213</v>
      </c>
      <c r="H58" s="609">
        <v>37862814</v>
      </c>
      <c r="I58" s="609">
        <v>37862814</v>
      </c>
    </row>
    <row r="59" spans="1:11">
      <c r="A59" s="608">
        <v>110221</v>
      </c>
      <c r="B59" s="608" t="s">
        <v>1213</v>
      </c>
      <c r="C59" s="609">
        <v>37862814</v>
      </c>
      <c r="D59" s="609">
        <v>37862814</v>
      </c>
      <c r="E59" s="543"/>
      <c r="F59" s="608" t="s">
        <v>1216</v>
      </c>
      <c r="G59" s="608" t="s">
        <v>1217</v>
      </c>
      <c r="H59" s="609"/>
      <c r="I59" s="609"/>
    </row>
    <row r="60" spans="1:11">
      <c r="A60" s="541" t="s">
        <v>1216</v>
      </c>
      <c r="B60" s="541" t="s">
        <v>1217</v>
      </c>
      <c r="E60" s="543"/>
      <c r="F60" s="608" t="s">
        <v>1932</v>
      </c>
      <c r="G60" s="608" t="s">
        <v>883</v>
      </c>
      <c r="H60" s="609">
        <v>6836265</v>
      </c>
      <c r="I60" s="609">
        <v>6836265</v>
      </c>
    </row>
    <row r="61" spans="1:11">
      <c r="A61" s="541">
        <v>110231001</v>
      </c>
      <c r="B61" s="541" t="s">
        <v>1218</v>
      </c>
      <c r="C61" s="574"/>
      <c r="D61" s="574"/>
      <c r="E61" s="543"/>
      <c r="F61" s="608" t="s">
        <v>1216</v>
      </c>
      <c r="G61" s="608" t="s">
        <v>1217</v>
      </c>
      <c r="H61" s="610">
        <v>6836265</v>
      </c>
      <c r="I61" s="610">
        <v>6836265</v>
      </c>
    </row>
    <row r="62" spans="1:11">
      <c r="A62" s="541">
        <v>110231011</v>
      </c>
      <c r="B62" s="541" t="s">
        <v>883</v>
      </c>
      <c r="C62" s="609">
        <v>6836265</v>
      </c>
      <c r="D62" s="609">
        <v>6836265</v>
      </c>
      <c r="E62" s="543"/>
      <c r="F62" s="608"/>
      <c r="G62" s="608"/>
      <c r="H62" s="610"/>
      <c r="I62" s="610"/>
    </row>
    <row r="63" spans="1:11">
      <c r="A63" s="541">
        <v>110231</v>
      </c>
      <c r="B63" s="541" t="s">
        <v>1217</v>
      </c>
      <c r="C63" s="610">
        <v>6836265</v>
      </c>
      <c r="D63" s="610">
        <v>6836265</v>
      </c>
      <c r="E63" s="543"/>
      <c r="F63" s="608"/>
      <c r="G63" s="608"/>
      <c r="H63" s="610"/>
      <c r="I63" s="610"/>
    </row>
    <row r="64" spans="1:11">
      <c r="A64" s="593">
        <v>110233</v>
      </c>
      <c r="B64" s="593" t="s">
        <v>1903</v>
      </c>
      <c r="C64" s="594"/>
      <c r="D64" s="594"/>
      <c r="E64" s="543"/>
      <c r="F64" s="608"/>
      <c r="G64" s="608"/>
      <c r="H64" s="610"/>
      <c r="I64" s="610"/>
    </row>
    <row r="65" spans="1:9">
      <c r="A65" s="593">
        <v>110233001</v>
      </c>
      <c r="B65" s="593" t="s">
        <v>1858</v>
      </c>
      <c r="C65" s="595"/>
      <c r="D65" s="595"/>
      <c r="E65" s="543"/>
      <c r="F65" s="608"/>
      <c r="G65" s="608"/>
      <c r="H65" s="610"/>
      <c r="I65" s="610"/>
    </row>
    <row r="66" spans="1:9">
      <c r="A66" s="593">
        <v>110233</v>
      </c>
      <c r="B66" s="593" t="s">
        <v>1903</v>
      </c>
      <c r="C66" s="595"/>
      <c r="D66" s="595"/>
      <c r="E66" s="543"/>
      <c r="F66" s="608"/>
      <c r="G66" s="608"/>
      <c r="H66" s="610"/>
      <c r="I66" s="610"/>
    </row>
    <row r="67" spans="1:9">
      <c r="A67" s="541" t="s">
        <v>1219</v>
      </c>
      <c r="B67" s="541" t="s">
        <v>1220</v>
      </c>
      <c r="E67" s="543"/>
      <c r="F67" s="608" t="s">
        <v>1219</v>
      </c>
      <c r="G67" s="608" t="s">
        <v>1220</v>
      </c>
      <c r="H67" s="609"/>
      <c r="I67" s="609"/>
    </row>
    <row r="68" spans="1:9">
      <c r="A68" s="541">
        <v>110251011</v>
      </c>
      <c r="B68" s="541" t="s">
        <v>272</v>
      </c>
      <c r="C68" s="609">
        <v>24000000</v>
      </c>
      <c r="D68" s="609">
        <v>24000000</v>
      </c>
      <c r="E68" s="543"/>
      <c r="F68" s="608" t="s">
        <v>1935</v>
      </c>
      <c r="G68" s="608" t="s">
        <v>272</v>
      </c>
      <c r="H68" s="609">
        <v>24000000</v>
      </c>
      <c r="I68" s="609">
        <v>24000000</v>
      </c>
    </row>
    <row r="69" spans="1:9">
      <c r="A69" s="541">
        <v>110251021</v>
      </c>
      <c r="B69" s="541" t="s">
        <v>1716</v>
      </c>
      <c r="C69" s="609">
        <v>4906387</v>
      </c>
      <c r="D69" s="609">
        <v>4906387</v>
      </c>
      <c r="E69" s="543"/>
      <c r="F69" s="608" t="s">
        <v>1937</v>
      </c>
      <c r="G69" s="608" t="s">
        <v>1716</v>
      </c>
      <c r="H69" s="609">
        <v>4906387</v>
      </c>
      <c r="I69" s="609">
        <v>4906387</v>
      </c>
    </row>
    <row r="70" spans="1:9">
      <c r="A70" s="541">
        <v>110251022</v>
      </c>
      <c r="B70" s="541" t="s">
        <v>1352</v>
      </c>
      <c r="C70" s="609">
        <v>76036886</v>
      </c>
      <c r="D70" s="609">
        <v>76036886</v>
      </c>
      <c r="E70" s="543"/>
      <c r="F70" s="608" t="s">
        <v>1938</v>
      </c>
      <c r="G70" s="608" t="s">
        <v>1352</v>
      </c>
      <c r="H70" s="610">
        <v>76036886</v>
      </c>
      <c r="I70" s="610">
        <v>76036886</v>
      </c>
    </row>
    <row r="71" spans="1:9">
      <c r="A71" s="541">
        <v>110251023</v>
      </c>
      <c r="B71" s="541" t="s">
        <v>1833</v>
      </c>
      <c r="C71" s="609">
        <v>149999998</v>
      </c>
      <c r="D71" s="609">
        <v>149999998</v>
      </c>
      <c r="E71" s="543"/>
      <c r="F71" s="608" t="s">
        <v>1939</v>
      </c>
      <c r="G71" s="608" t="s">
        <v>1833</v>
      </c>
      <c r="H71" s="610">
        <v>149999998</v>
      </c>
      <c r="I71" s="610">
        <v>149999998</v>
      </c>
    </row>
    <row r="72" spans="1:9">
      <c r="A72" s="541">
        <v>110251</v>
      </c>
      <c r="B72" s="541" t="s">
        <v>1220</v>
      </c>
      <c r="C72" s="610">
        <v>254943271</v>
      </c>
      <c r="D72" s="610">
        <v>254943271</v>
      </c>
      <c r="E72" s="543"/>
      <c r="F72" s="608" t="s">
        <v>1219</v>
      </c>
      <c r="G72" s="608" t="s">
        <v>1220</v>
      </c>
      <c r="H72" s="610">
        <v>254943271</v>
      </c>
      <c r="I72" s="610">
        <v>254943271</v>
      </c>
    </row>
    <row r="73" spans="1:9">
      <c r="A73" s="541">
        <v>1102</v>
      </c>
      <c r="B73" s="541" t="s">
        <v>1201</v>
      </c>
      <c r="C73" s="609">
        <v>5883930633</v>
      </c>
      <c r="D73" s="609">
        <v>5883930633</v>
      </c>
      <c r="E73" s="543"/>
      <c r="F73" s="608" t="s">
        <v>1200</v>
      </c>
      <c r="G73" s="608" t="s">
        <v>1201</v>
      </c>
      <c r="H73" s="610">
        <v>5883930633</v>
      </c>
      <c r="I73" s="610">
        <v>5883930633</v>
      </c>
    </row>
    <row r="74" spans="1:9">
      <c r="A74" s="541" t="s">
        <v>1221</v>
      </c>
      <c r="B74" s="541" t="s">
        <v>1222</v>
      </c>
      <c r="E74" s="543"/>
      <c r="F74" s="608" t="s">
        <v>1221</v>
      </c>
      <c r="G74" s="608" t="s">
        <v>1222</v>
      </c>
      <c r="H74" s="610"/>
      <c r="I74" s="610"/>
    </row>
    <row r="75" spans="1:9">
      <c r="A75" s="541">
        <v>110301</v>
      </c>
      <c r="B75" s="541" t="s">
        <v>1224</v>
      </c>
      <c r="E75" s="543"/>
      <c r="F75" s="608" t="s">
        <v>1223</v>
      </c>
      <c r="G75" s="608" t="s">
        <v>1224</v>
      </c>
      <c r="H75" s="610"/>
      <c r="I75" s="610"/>
    </row>
    <row r="76" spans="1:9">
      <c r="A76" s="541">
        <v>110301001</v>
      </c>
      <c r="B76" s="541" t="s">
        <v>1225</v>
      </c>
      <c r="C76" s="610">
        <v>7441630925</v>
      </c>
      <c r="D76" s="610">
        <v>7441630925</v>
      </c>
      <c r="E76" s="543"/>
      <c r="F76" s="608" t="s">
        <v>1941</v>
      </c>
      <c r="G76" s="608" t="s">
        <v>1225</v>
      </c>
      <c r="H76" s="609">
        <v>7441630925</v>
      </c>
      <c r="I76" s="609">
        <v>7441630925</v>
      </c>
    </row>
    <row r="77" spans="1:9">
      <c r="A77" s="541">
        <v>110301002</v>
      </c>
      <c r="B77" s="541" t="s">
        <v>1226</v>
      </c>
      <c r="C77" s="610">
        <v>-20949683</v>
      </c>
      <c r="D77" s="610">
        <v>-20949683</v>
      </c>
      <c r="E77" s="543"/>
      <c r="F77" s="608" t="s">
        <v>1942</v>
      </c>
      <c r="G77" s="608" t="s">
        <v>1226</v>
      </c>
      <c r="H77" s="609">
        <v>-20949683</v>
      </c>
      <c r="I77" s="609">
        <v>-20949683</v>
      </c>
    </row>
    <row r="78" spans="1:9">
      <c r="A78" s="541">
        <v>110301003</v>
      </c>
      <c r="B78" s="541" t="s">
        <v>1227</v>
      </c>
      <c r="C78" s="610">
        <v>2009820429</v>
      </c>
      <c r="D78" s="610">
        <v>2009820429</v>
      </c>
      <c r="E78" s="543"/>
      <c r="F78" s="608" t="s">
        <v>1943</v>
      </c>
      <c r="G78" s="608" t="s">
        <v>1227</v>
      </c>
      <c r="H78" s="609">
        <v>2009820429</v>
      </c>
      <c r="I78" s="609">
        <v>2009820429</v>
      </c>
    </row>
    <row r="79" spans="1:9">
      <c r="A79" s="541">
        <v>110301004</v>
      </c>
      <c r="B79" s="541" t="s">
        <v>1228</v>
      </c>
      <c r="C79" s="610">
        <v>11187000</v>
      </c>
      <c r="D79" s="610">
        <v>11187000</v>
      </c>
      <c r="E79" s="543"/>
      <c r="F79" s="608" t="s">
        <v>1944</v>
      </c>
      <c r="G79" s="608" t="s">
        <v>1228</v>
      </c>
      <c r="H79" s="609">
        <v>11187000</v>
      </c>
      <c r="I79" s="609">
        <v>11187000</v>
      </c>
    </row>
    <row r="80" spans="1:9">
      <c r="A80" s="541">
        <v>110301</v>
      </c>
      <c r="B80" s="541" t="s">
        <v>1224</v>
      </c>
      <c r="C80" s="609">
        <v>9441688671</v>
      </c>
      <c r="D80" s="609">
        <v>9441688671</v>
      </c>
      <c r="E80" s="543"/>
      <c r="F80" s="608" t="s">
        <v>1223</v>
      </c>
      <c r="G80" s="608" t="s">
        <v>1224</v>
      </c>
      <c r="H80" s="610">
        <v>9441688671</v>
      </c>
      <c r="I80" s="610">
        <v>9441688671</v>
      </c>
    </row>
    <row r="81" spans="1:9">
      <c r="A81" s="541">
        <v>110302</v>
      </c>
      <c r="B81" s="541" t="s">
        <v>1230</v>
      </c>
      <c r="C81" s="609"/>
      <c r="D81" s="609"/>
      <c r="E81" s="543"/>
      <c r="F81" s="608" t="s">
        <v>1229</v>
      </c>
      <c r="G81" s="608" t="s">
        <v>1230</v>
      </c>
      <c r="H81" s="609"/>
      <c r="I81" s="609"/>
    </row>
    <row r="82" spans="1:9">
      <c r="A82" s="541">
        <v>110302001</v>
      </c>
      <c r="B82" s="541" t="s">
        <v>1231</v>
      </c>
      <c r="C82" s="609">
        <v>960789044</v>
      </c>
      <c r="D82" s="609">
        <v>960789044</v>
      </c>
      <c r="E82" s="543"/>
      <c r="F82" s="608" t="s">
        <v>1945</v>
      </c>
      <c r="G82" s="608" t="s">
        <v>1231</v>
      </c>
      <c r="H82" s="609">
        <v>960789044</v>
      </c>
      <c r="I82" s="609">
        <v>960789044</v>
      </c>
    </row>
    <row r="83" spans="1:9">
      <c r="A83" s="541">
        <v>110302002</v>
      </c>
      <c r="B83" s="541" t="s">
        <v>1232</v>
      </c>
      <c r="C83" s="609">
        <v>316365609</v>
      </c>
      <c r="D83" s="609">
        <v>316365609</v>
      </c>
      <c r="E83" s="543"/>
      <c r="F83" s="608" t="s">
        <v>1946</v>
      </c>
      <c r="G83" s="608" t="s">
        <v>1232</v>
      </c>
      <c r="H83" s="609">
        <v>316365609</v>
      </c>
      <c r="I83" s="609">
        <v>316365609</v>
      </c>
    </row>
    <row r="84" spans="1:9">
      <c r="A84" s="541">
        <v>110302003</v>
      </c>
      <c r="B84" s="541" t="s">
        <v>1233</v>
      </c>
      <c r="C84" s="609">
        <v>1413356871</v>
      </c>
      <c r="D84" s="609">
        <v>1413356871</v>
      </c>
      <c r="E84" s="543"/>
      <c r="F84" s="608" t="s">
        <v>1947</v>
      </c>
      <c r="G84" s="608" t="s">
        <v>1233</v>
      </c>
      <c r="H84" s="610">
        <v>1413356871</v>
      </c>
      <c r="I84" s="610">
        <v>1413356871</v>
      </c>
    </row>
    <row r="85" spans="1:9">
      <c r="A85" s="541">
        <v>110302</v>
      </c>
      <c r="B85" s="541" t="s">
        <v>1230</v>
      </c>
      <c r="C85" s="609">
        <v>2690511524</v>
      </c>
      <c r="D85" s="609">
        <v>2690511524</v>
      </c>
      <c r="E85" s="543"/>
      <c r="F85" s="608" t="s">
        <v>1229</v>
      </c>
      <c r="G85" s="608" t="s">
        <v>1230</v>
      </c>
      <c r="H85" s="610">
        <v>2690511524</v>
      </c>
      <c r="I85" s="610">
        <v>2690511524</v>
      </c>
    </row>
    <row r="86" spans="1:9">
      <c r="A86" s="541">
        <v>110303</v>
      </c>
      <c r="B86" s="541" t="s">
        <v>1235</v>
      </c>
      <c r="C86" s="610"/>
      <c r="D86" s="610"/>
      <c r="E86" s="543"/>
      <c r="F86" s="608" t="s">
        <v>1234</v>
      </c>
      <c r="G86" s="608" t="s">
        <v>1235</v>
      </c>
      <c r="H86" s="610"/>
      <c r="I86" s="610"/>
    </row>
    <row r="87" spans="1:9">
      <c r="A87" s="541">
        <v>110303001</v>
      </c>
      <c r="B87" s="541" t="s">
        <v>1236</v>
      </c>
      <c r="C87" s="610">
        <v>10613505</v>
      </c>
      <c r="D87" s="610">
        <v>10613505</v>
      </c>
      <c r="E87" s="543"/>
      <c r="F87" s="608" t="s">
        <v>1948</v>
      </c>
      <c r="G87" s="608" t="s">
        <v>1236</v>
      </c>
      <c r="H87" s="610">
        <v>10613505</v>
      </c>
      <c r="I87" s="610">
        <v>10613505</v>
      </c>
    </row>
    <row r="88" spans="1:9">
      <c r="A88" s="541">
        <v>110303002</v>
      </c>
      <c r="B88" s="541" t="s">
        <v>1236</v>
      </c>
      <c r="C88" s="609">
        <v>119144110</v>
      </c>
      <c r="D88" s="609">
        <v>119144110</v>
      </c>
      <c r="E88" s="543"/>
      <c r="F88" s="608" t="s">
        <v>1949</v>
      </c>
      <c r="G88" s="608" t="s">
        <v>1236</v>
      </c>
      <c r="H88" s="609">
        <v>119144110</v>
      </c>
      <c r="I88" s="609">
        <v>119144110</v>
      </c>
    </row>
    <row r="89" spans="1:9">
      <c r="A89" s="541">
        <v>110303003</v>
      </c>
      <c r="B89" s="541" t="s">
        <v>1237</v>
      </c>
      <c r="C89" s="609">
        <v>99227611</v>
      </c>
      <c r="D89" s="609">
        <v>99227611</v>
      </c>
      <c r="E89" s="543"/>
      <c r="F89" s="608" t="s">
        <v>1950</v>
      </c>
      <c r="G89" s="608" t="s">
        <v>1237</v>
      </c>
      <c r="H89" s="609">
        <v>99227611</v>
      </c>
      <c r="I89" s="609">
        <v>99227611</v>
      </c>
    </row>
    <row r="90" spans="1:9">
      <c r="A90" s="541">
        <v>110303</v>
      </c>
      <c r="B90" s="541" t="s">
        <v>1235</v>
      </c>
      <c r="C90" s="609">
        <v>228985226</v>
      </c>
      <c r="D90" s="609">
        <v>228985226</v>
      </c>
      <c r="E90" s="543"/>
      <c r="F90" s="608" t="s">
        <v>1234</v>
      </c>
      <c r="G90" s="608" t="s">
        <v>1235</v>
      </c>
      <c r="H90" s="609">
        <v>228985226</v>
      </c>
      <c r="I90" s="609">
        <v>228985226</v>
      </c>
    </row>
    <row r="91" spans="1:9">
      <c r="A91" s="541">
        <v>110304</v>
      </c>
      <c r="B91" s="541" t="s">
        <v>1238</v>
      </c>
      <c r="E91" s="543"/>
      <c r="F91" s="608" t="s">
        <v>1951</v>
      </c>
      <c r="G91" s="608" t="s">
        <v>1238</v>
      </c>
      <c r="H91" s="609"/>
      <c r="I91" s="609"/>
    </row>
    <row r="92" spans="1:9">
      <c r="A92" s="541">
        <v>110304001</v>
      </c>
      <c r="B92" s="541" t="s">
        <v>1750</v>
      </c>
      <c r="C92" s="609">
        <v>1530708468</v>
      </c>
      <c r="D92" s="609">
        <v>1530708468</v>
      </c>
      <c r="E92" s="543"/>
      <c r="F92" s="608" t="s">
        <v>1952</v>
      </c>
      <c r="G92" s="608" t="s">
        <v>1750</v>
      </c>
      <c r="H92" s="609">
        <v>1530708468</v>
      </c>
      <c r="I92" s="609">
        <v>1530708468</v>
      </c>
    </row>
    <row r="93" spans="1:9">
      <c r="A93" s="541">
        <v>110304002</v>
      </c>
      <c r="B93" s="541" t="s">
        <v>1751</v>
      </c>
      <c r="C93" s="610">
        <v>831026867</v>
      </c>
      <c r="D93" s="610">
        <v>831026867</v>
      </c>
      <c r="E93" s="543"/>
      <c r="F93" s="608" t="s">
        <v>1953</v>
      </c>
      <c r="G93" s="608" t="s">
        <v>1751</v>
      </c>
      <c r="H93" s="609">
        <v>831026867</v>
      </c>
      <c r="I93" s="609">
        <v>831026867</v>
      </c>
    </row>
    <row r="94" spans="1:9">
      <c r="A94" s="541">
        <v>110304003</v>
      </c>
      <c r="B94" s="541" t="s">
        <v>1752</v>
      </c>
      <c r="C94" s="609">
        <v>431071593</v>
      </c>
      <c r="D94" s="609">
        <v>431071593</v>
      </c>
      <c r="E94" s="543"/>
      <c r="F94" s="608" t="s">
        <v>1954</v>
      </c>
      <c r="G94" s="608" t="s">
        <v>1752</v>
      </c>
      <c r="H94" s="610">
        <v>431071593</v>
      </c>
      <c r="I94" s="610">
        <v>431071593</v>
      </c>
    </row>
    <row r="95" spans="1:9">
      <c r="A95" s="541">
        <v>110304</v>
      </c>
      <c r="B95" s="541" t="s">
        <v>1238</v>
      </c>
      <c r="C95" s="609">
        <v>2792806928</v>
      </c>
      <c r="D95" s="609">
        <v>2792806928</v>
      </c>
      <c r="E95" s="543"/>
      <c r="F95" s="608" t="s">
        <v>1951</v>
      </c>
      <c r="G95" s="608" t="s">
        <v>1238</v>
      </c>
      <c r="H95" s="610">
        <v>2792806928</v>
      </c>
      <c r="I95" s="610">
        <v>2792806928</v>
      </c>
    </row>
    <row r="96" spans="1:9">
      <c r="A96" s="541">
        <v>110305</v>
      </c>
      <c r="B96" s="541" t="s">
        <v>1240</v>
      </c>
      <c r="E96" s="543"/>
      <c r="F96" s="608" t="s">
        <v>1239</v>
      </c>
      <c r="G96" s="608" t="s">
        <v>1240</v>
      </c>
      <c r="H96" s="609"/>
      <c r="I96" s="609"/>
    </row>
    <row r="97" spans="1:9">
      <c r="A97" s="541">
        <v>110305001</v>
      </c>
      <c r="B97" s="541" t="s">
        <v>1241</v>
      </c>
      <c r="C97" s="609">
        <v>921079579</v>
      </c>
      <c r="D97" s="609">
        <v>921079579</v>
      </c>
      <c r="E97" s="543"/>
      <c r="F97" s="608" t="s">
        <v>1955</v>
      </c>
      <c r="G97" s="608" t="s">
        <v>1241</v>
      </c>
      <c r="H97" s="609">
        <v>921079579</v>
      </c>
      <c r="I97" s="609">
        <v>921079579</v>
      </c>
    </row>
    <row r="98" spans="1:9">
      <c r="A98" s="541">
        <v>110305002</v>
      </c>
      <c r="B98" s="541" t="s">
        <v>1753</v>
      </c>
      <c r="C98" s="609">
        <v>-922586</v>
      </c>
      <c r="D98" s="609">
        <v>-922586</v>
      </c>
      <c r="E98" s="543"/>
      <c r="F98" s="608" t="s">
        <v>1956</v>
      </c>
      <c r="G98" s="608" t="s">
        <v>1753</v>
      </c>
      <c r="H98" s="609">
        <v>-922586</v>
      </c>
      <c r="I98" s="609">
        <v>-922586</v>
      </c>
    </row>
    <row r="99" spans="1:9">
      <c r="A99" s="541">
        <v>110305003</v>
      </c>
      <c r="B99" s="541" t="s">
        <v>1242</v>
      </c>
      <c r="C99" s="610">
        <v>330445183</v>
      </c>
      <c r="D99" s="610">
        <v>330445183</v>
      </c>
      <c r="E99" s="543"/>
      <c r="F99" s="608" t="s">
        <v>1957</v>
      </c>
      <c r="G99" s="608" t="s">
        <v>1242</v>
      </c>
      <c r="H99" s="609">
        <v>330445183</v>
      </c>
      <c r="I99" s="609">
        <v>330445183</v>
      </c>
    </row>
    <row r="100" spans="1:9">
      <c r="A100" s="541">
        <v>110305</v>
      </c>
      <c r="B100" s="541" t="s">
        <v>1240</v>
      </c>
      <c r="C100" s="609">
        <v>1250602176</v>
      </c>
      <c r="D100" s="609">
        <v>1250602176</v>
      </c>
      <c r="E100" s="543"/>
      <c r="F100" s="608" t="s">
        <v>1239</v>
      </c>
      <c r="G100" s="608" t="s">
        <v>1240</v>
      </c>
      <c r="H100" s="609">
        <v>1250602176</v>
      </c>
      <c r="I100" s="609">
        <v>1250602176</v>
      </c>
    </row>
    <row r="101" spans="1:9">
      <c r="A101" s="541">
        <v>110306</v>
      </c>
      <c r="B101" s="541" t="s">
        <v>1244</v>
      </c>
      <c r="C101" s="609"/>
      <c r="D101" s="609"/>
      <c r="E101" s="543"/>
      <c r="F101" s="608" t="s">
        <v>1243</v>
      </c>
      <c r="G101" s="608" t="s">
        <v>1244</v>
      </c>
      <c r="H101" s="610"/>
      <c r="I101" s="610"/>
    </row>
    <row r="102" spans="1:9">
      <c r="A102" s="541">
        <v>110306006</v>
      </c>
      <c r="B102" s="541" t="s">
        <v>1245</v>
      </c>
      <c r="C102" s="609">
        <v>10156368</v>
      </c>
      <c r="D102" s="609">
        <v>10156368</v>
      </c>
      <c r="E102" s="543"/>
      <c r="F102" s="608" t="s">
        <v>1958</v>
      </c>
      <c r="G102" s="608" t="s">
        <v>1245</v>
      </c>
      <c r="H102" s="609">
        <v>10156368</v>
      </c>
      <c r="I102" s="609">
        <v>10156368</v>
      </c>
    </row>
    <row r="103" spans="1:9">
      <c r="A103" s="541">
        <v>110306007</v>
      </c>
      <c r="B103" s="541" t="s">
        <v>1246</v>
      </c>
      <c r="C103" s="609">
        <v>4859934</v>
      </c>
      <c r="D103" s="609">
        <v>4859934</v>
      </c>
      <c r="E103" s="543"/>
      <c r="F103" s="608" t="s">
        <v>1959</v>
      </c>
      <c r="G103" s="608" t="s">
        <v>1246</v>
      </c>
      <c r="H103" s="609">
        <v>4859934</v>
      </c>
      <c r="I103" s="609">
        <v>4859934</v>
      </c>
    </row>
    <row r="104" spans="1:9">
      <c r="A104" s="541">
        <v>110306</v>
      </c>
      <c r="B104" s="541" t="s">
        <v>1244</v>
      </c>
      <c r="C104" s="610">
        <v>15016302</v>
      </c>
      <c r="D104" s="610">
        <v>15016302</v>
      </c>
      <c r="E104" s="543"/>
      <c r="F104" s="608" t="s">
        <v>1243</v>
      </c>
      <c r="G104" s="608" t="s">
        <v>1244</v>
      </c>
      <c r="H104" s="609">
        <v>15016302</v>
      </c>
      <c r="I104" s="609">
        <v>15016302</v>
      </c>
    </row>
    <row r="105" spans="1:9">
      <c r="A105" s="541">
        <v>110350</v>
      </c>
      <c r="B105" s="541" t="s">
        <v>1248</v>
      </c>
      <c r="E105" s="543"/>
      <c r="F105" s="608" t="s">
        <v>1247</v>
      </c>
      <c r="G105" s="608" t="s">
        <v>1248</v>
      </c>
      <c r="H105" s="609"/>
      <c r="I105" s="609"/>
    </row>
    <row r="106" spans="1:9">
      <c r="A106" s="541">
        <v>110350002</v>
      </c>
      <c r="B106" s="608" t="s">
        <v>1249</v>
      </c>
      <c r="C106" s="609">
        <v>26788059</v>
      </c>
      <c r="D106" s="609">
        <v>26788059</v>
      </c>
      <c r="E106" s="543"/>
      <c r="F106" s="608" t="s">
        <v>1960</v>
      </c>
      <c r="G106" s="608" t="s">
        <v>1249</v>
      </c>
      <c r="H106" s="609">
        <v>26788059</v>
      </c>
      <c r="I106" s="609">
        <v>26788059</v>
      </c>
    </row>
    <row r="107" spans="1:9">
      <c r="A107" s="541">
        <v>110350003</v>
      </c>
      <c r="B107" s="608"/>
      <c r="C107" s="609"/>
      <c r="D107" s="609"/>
      <c r="E107" s="543"/>
      <c r="F107" s="608" t="s">
        <v>1247</v>
      </c>
      <c r="G107" s="608" t="s">
        <v>1248</v>
      </c>
      <c r="H107" s="610">
        <v>26788059</v>
      </c>
      <c r="I107" s="610">
        <v>26788059</v>
      </c>
    </row>
    <row r="108" spans="1:9">
      <c r="A108" s="541">
        <v>110350</v>
      </c>
      <c r="B108" s="608" t="s">
        <v>1248</v>
      </c>
      <c r="C108" s="609">
        <v>26788059</v>
      </c>
      <c r="D108" s="609">
        <v>26788059</v>
      </c>
      <c r="E108" s="543"/>
      <c r="F108" s="608" t="s">
        <v>1250</v>
      </c>
      <c r="G108" s="608" t="s">
        <v>1251</v>
      </c>
      <c r="H108" s="609"/>
      <c r="I108" s="609"/>
    </row>
    <row r="109" spans="1:9">
      <c r="A109" s="541">
        <v>110352</v>
      </c>
      <c r="B109" s="608" t="s">
        <v>1251</v>
      </c>
      <c r="C109" s="609"/>
      <c r="D109" s="609"/>
      <c r="E109" s="543"/>
      <c r="F109" s="608" t="s">
        <v>1961</v>
      </c>
      <c r="G109" s="608" t="s">
        <v>1252</v>
      </c>
      <c r="H109" s="609">
        <v>1830495</v>
      </c>
      <c r="I109" s="609">
        <v>1830495</v>
      </c>
    </row>
    <row r="110" spans="1:9">
      <c r="A110" s="541">
        <v>110352002</v>
      </c>
      <c r="B110" s="608" t="s">
        <v>1252</v>
      </c>
      <c r="C110" s="610">
        <v>1830495</v>
      </c>
      <c r="D110" s="610">
        <v>1830495</v>
      </c>
      <c r="E110" s="543"/>
      <c r="F110" s="608" t="s">
        <v>1962</v>
      </c>
      <c r="G110" s="608" t="s">
        <v>1253</v>
      </c>
      <c r="H110" s="609">
        <v>26295405</v>
      </c>
      <c r="I110" s="609">
        <v>26295405</v>
      </c>
    </row>
    <row r="111" spans="1:9">
      <c r="A111" s="541">
        <v>110352003</v>
      </c>
      <c r="B111" s="608" t="s">
        <v>1253</v>
      </c>
      <c r="C111" s="609">
        <v>26295405</v>
      </c>
      <c r="D111" s="609">
        <v>26295405</v>
      </c>
      <c r="E111" s="543"/>
      <c r="F111" s="608" t="s">
        <v>1250</v>
      </c>
      <c r="G111" s="608" t="s">
        <v>1251</v>
      </c>
      <c r="H111" s="609">
        <v>28125900</v>
      </c>
      <c r="I111" s="609">
        <v>28125900</v>
      </c>
    </row>
    <row r="112" spans="1:9">
      <c r="A112" s="541">
        <v>110352</v>
      </c>
      <c r="B112" s="608" t="s">
        <v>1251</v>
      </c>
      <c r="C112" s="609">
        <v>28125900</v>
      </c>
      <c r="D112" s="609">
        <v>28125900</v>
      </c>
      <c r="E112" s="543"/>
      <c r="F112" s="608" t="s">
        <v>1254</v>
      </c>
      <c r="G112" s="608" t="s">
        <v>1255</v>
      </c>
      <c r="H112" s="610"/>
      <c r="I112" s="610"/>
    </row>
    <row r="113" spans="1:9">
      <c r="A113" s="541">
        <v>110355</v>
      </c>
      <c r="B113" s="608" t="s">
        <v>1255</v>
      </c>
      <c r="C113" s="609"/>
      <c r="D113" s="609"/>
      <c r="E113" s="543"/>
      <c r="F113" s="608" t="s">
        <v>1963</v>
      </c>
      <c r="G113" s="608" t="s">
        <v>1256</v>
      </c>
      <c r="H113" s="609">
        <v>41860</v>
      </c>
      <c r="I113" s="609">
        <v>41860</v>
      </c>
    </row>
    <row r="114" spans="1:9">
      <c r="A114" s="541">
        <v>110355002</v>
      </c>
      <c r="B114" s="608" t="s">
        <v>1256</v>
      </c>
      <c r="C114" s="609">
        <v>41860</v>
      </c>
      <c r="D114" s="609">
        <v>41860</v>
      </c>
      <c r="E114" s="543"/>
      <c r="F114" s="608" t="s">
        <v>1964</v>
      </c>
      <c r="G114" s="608" t="s">
        <v>1257</v>
      </c>
      <c r="H114" s="609">
        <v>53841493</v>
      </c>
      <c r="I114" s="609">
        <v>53841493</v>
      </c>
    </row>
    <row r="115" spans="1:9">
      <c r="A115" s="541">
        <v>110355003</v>
      </c>
      <c r="B115" s="608" t="s">
        <v>1257</v>
      </c>
      <c r="C115" s="610">
        <v>53841493</v>
      </c>
      <c r="D115" s="610">
        <v>53841493</v>
      </c>
      <c r="E115" s="543"/>
      <c r="F115" s="608" t="s">
        <v>1254</v>
      </c>
      <c r="G115" s="608" t="s">
        <v>1255</v>
      </c>
      <c r="H115" s="609">
        <v>53883353</v>
      </c>
      <c r="I115" s="609">
        <v>53883353</v>
      </c>
    </row>
    <row r="116" spans="1:9">
      <c r="A116" s="541">
        <v>110355</v>
      </c>
      <c r="B116" s="608" t="s">
        <v>1255</v>
      </c>
      <c r="C116" s="609">
        <v>53883353</v>
      </c>
      <c r="D116" s="609">
        <v>53883353</v>
      </c>
      <c r="E116" s="543"/>
      <c r="F116" s="608" t="s">
        <v>1258</v>
      </c>
      <c r="G116" s="608" t="s">
        <v>1259</v>
      </c>
      <c r="H116" s="609"/>
      <c r="I116" s="609"/>
    </row>
    <row r="117" spans="1:9">
      <c r="A117" s="541" t="s">
        <v>1258</v>
      </c>
      <c r="B117" s="541" t="s">
        <v>1259</v>
      </c>
      <c r="E117" s="543"/>
      <c r="F117" s="608" t="s">
        <v>1965</v>
      </c>
      <c r="G117" s="608" t="s">
        <v>1260</v>
      </c>
      <c r="H117" s="609">
        <v>409814</v>
      </c>
      <c r="I117" s="609">
        <v>409814</v>
      </c>
    </row>
    <row r="118" spans="1:9">
      <c r="A118" s="541">
        <v>110357001</v>
      </c>
      <c r="B118" s="541" t="s">
        <v>1260</v>
      </c>
      <c r="C118" s="609">
        <v>409814</v>
      </c>
      <c r="D118" s="609">
        <v>409814</v>
      </c>
      <c r="E118" s="543"/>
      <c r="F118" s="608" t="s">
        <v>1966</v>
      </c>
      <c r="G118" s="608" t="s">
        <v>1261</v>
      </c>
      <c r="H118" s="610">
        <v>75807</v>
      </c>
      <c r="I118" s="610">
        <v>75807</v>
      </c>
    </row>
    <row r="119" spans="1:9">
      <c r="A119" s="541">
        <v>110357002</v>
      </c>
      <c r="B119" s="541" t="s">
        <v>1261</v>
      </c>
      <c r="C119" s="610">
        <v>75807</v>
      </c>
      <c r="D119" s="610">
        <v>75807</v>
      </c>
      <c r="E119" s="543"/>
      <c r="F119" s="608" t="s">
        <v>1967</v>
      </c>
      <c r="G119" s="608" t="s">
        <v>1262</v>
      </c>
      <c r="H119" s="609">
        <v>9729487</v>
      </c>
      <c r="I119" s="609">
        <v>9729487</v>
      </c>
    </row>
    <row r="120" spans="1:9">
      <c r="A120" s="541">
        <v>110357003</v>
      </c>
      <c r="B120" s="541" t="s">
        <v>1262</v>
      </c>
      <c r="C120" s="609">
        <v>9729487</v>
      </c>
      <c r="D120" s="609">
        <v>9729487</v>
      </c>
      <c r="E120" s="543"/>
      <c r="F120" s="608" t="s">
        <v>1968</v>
      </c>
      <c r="G120" s="608" t="s">
        <v>1263</v>
      </c>
      <c r="H120" s="609">
        <v>10234758</v>
      </c>
      <c r="I120" s="609">
        <v>10234758</v>
      </c>
    </row>
    <row r="121" spans="1:9">
      <c r="A121" s="541">
        <v>110357103</v>
      </c>
      <c r="B121" s="541" t="s">
        <v>1263</v>
      </c>
      <c r="C121" s="609">
        <v>10234758</v>
      </c>
      <c r="D121" s="609">
        <v>10234758</v>
      </c>
      <c r="E121" s="543"/>
      <c r="F121" s="608" t="s">
        <v>1258</v>
      </c>
      <c r="G121" s="608" t="s">
        <v>1259</v>
      </c>
      <c r="H121" s="609">
        <v>20449866</v>
      </c>
      <c r="I121" s="609">
        <v>20449866</v>
      </c>
    </row>
    <row r="122" spans="1:9">
      <c r="A122" s="541">
        <v>110357</v>
      </c>
      <c r="B122" s="541" t="s">
        <v>1259</v>
      </c>
      <c r="C122" s="609">
        <v>20449866</v>
      </c>
      <c r="D122" s="609">
        <v>20449866</v>
      </c>
      <c r="E122" s="543"/>
      <c r="F122" s="608" t="s">
        <v>1264</v>
      </c>
      <c r="G122" s="608" t="s">
        <v>1265</v>
      </c>
      <c r="H122" s="609"/>
      <c r="I122" s="609"/>
    </row>
    <row r="123" spans="1:9">
      <c r="A123" s="541">
        <v>110359</v>
      </c>
      <c r="B123" s="541" t="s">
        <v>1265</v>
      </c>
      <c r="C123" s="610"/>
      <c r="D123" s="610"/>
      <c r="E123" s="543"/>
      <c r="F123" s="608" t="s">
        <v>1969</v>
      </c>
      <c r="G123" s="608" t="s">
        <v>1266</v>
      </c>
      <c r="H123" s="610">
        <v>2797614</v>
      </c>
      <c r="I123" s="610">
        <v>2797614</v>
      </c>
    </row>
    <row r="124" spans="1:9">
      <c r="A124" s="541">
        <v>110359003</v>
      </c>
      <c r="B124" s="541" t="s">
        <v>1266</v>
      </c>
      <c r="C124" s="609">
        <v>2797614</v>
      </c>
      <c r="D124" s="609">
        <v>2797614</v>
      </c>
      <c r="E124" s="543"/>
      <c r="F124" s="608" t="s">
        <v>1264</v>
      </c>
      <c r="G124" s="608" t="s">
        <v>1265</v>
      </c>
      <c r="H124" s="609">
        <v>2797614</v>
      </c>
      <c r="I124" s="609">
        <v>2797614</v>
      </c>
    </row>
    <row r="125" spans="1:9">
      <c r="A125" s="541">
        <v>110359</v>
      </c>
      <c r="B125" s="541" t="s">
        <v>1265</v>
      </c>
      <c r="C125" s="609">
        <v>2797614</v>
      </c>
      <c r="D125" s="609">
        <v>2797614</v>
      </c>
      <c r="E125" s="543"/>
      <c r="F125" s="608" t="s">
        <v>1970</v>
      </c>
      <c r="G125" s="608" t="s">
        <v>1267</v>
      </c>
      <c r="H125" s="609"/>
      <c r="I125" s="609"/>
    </row>
    <row r="126" spans="1:9">
      <c r="A126" s="541">
        <v>110361</v>
      </c>
      <c r="B126" s="541" t="s">
        <v>1267</v>
      </c>
      <c r="C126" s="609"/>
      <c r="D126" s="609"/>
      <c r="E126" s="543"/>
      <c r="F126" s="608" t="s">
        <v>1971</v>
      </c>
      <c r="G126" s="608" t="s">
        <v>1268</v>
      </c>
      <c r="H126" s="609">
        <v>157193197</v>
      </c>
      <c r="I126" s="609">
        <v>157193197</v>
      </c>
    </row>
    <row r="127" spans="1:9">
      <c r="A127" s="541">
        <v>110361003</v>
      </c>
      <c r="B127" s="541" t="s">
        <v>1268</v>
      </c>
      <c r="C127" s="610">
        <v>159155227</v>
      </c>
      <c r="D127" s="610">
        <v>159155227</v>
      </c>
      <c r="E127" s="543"/>
      <c r="F127" s="608" t="s">
        <v>1970</v>
      </c>
      <c r="G127" s="608" t="s">
        <v>1267</v>
      </c>
      <c r="H127" s="610">
        <v>157193197</v>
      </c>
      <c r="I127" s="610">
        <v>157193197</v>
      </c>
    </row>
    <row r="128" spans="1:9">
      <c r="A128" s="541">
        <v>110361</v>
      </c>
      <c r="B128" s="541" t="s">
        <v>1267</v>
      </c>
      <c r="C128" s="609">
        <v>159155227</v>
      </c>
      <c r="D128" s="609">
        <v>159155227</v>
      </c>
      <c r="E128" s="543"/>
      <c r="F128" s="608" t="s">
        <v>1972</v>
      </c>
      <c r="G128" s="608" t="s">
        <v>1269</v>
      </c>
      <c r="H128" s="609"/>
      <c r="I128" s="609"/>
    </row>
    <row r="129" spans="1:9">
      <c r="A129" s="541">
        <v>110365</v>
      </c>
      <c r="B129" s="541" t="s">
        <v>1269</v>
      </c>
      <c r="C129" s="609"/>
      <c r="D129" s="609"/>
      <c r="E129" s="543"/>
      <c r="F129" s="608" t="s">
        <v>2515</v>
      </c>
      <c r="G129" s="608" t="s">
        <v>1270</v>
      </c>
      <c r="H129" s="609">
        <v>23800588</v>
      </c>
      <c r="I129" s="609">
        <v>23800588</v>
      </c>
    </row>
    <row r="130" spans="1:9">
      <c r="A130" s="541">
        <v>110365002</v>
      </c>
      <c r="B130" s="541" t="s">
        <v>1270</v>
      </c>
      <c r="C130" s="609">
        <v>23800588</v>
      </c>
      <c r="D130" s="609">
        <v>23800588</v>
      </c>
      <c r="E130" s="543"/>
      <c r="F130" s="608" t="s">
        <v>2516</v>
      </c>
      <c r="G130" s="608" t="s">
        <v>1271</v>
      </c>
      <c r="H130" s="609">
        <v>46679339</v>
      </c>
      <c r="I130" s="609">
        <v>46679339</v>
      </c>
    </row>
    <row r="131" spans="1:9">
      <c r="A131" s="541">
        <v>110365003</v>
      </c>
      <c r="B131" s="541" t="s">
        <v>1271</v>
      </c>
      <c r="C131" s="610">
        <v>46679339</v>
      </c>
      <c r="D131" s="610">
        <v>46679339</v>
      </c>
      <c r="E131" s="543"/>
      <c r="F131" s="608" t="s">
        <v>1972</v>
      </c>
      <c r="G131" s="608" t="s">
        <v>1269</v>
      </c>
      <c r="H131" s="610">
        <v>70479927</v>
      </c>
      <c r="I131" s="610">
        <v>70479927</v>
      </c>
    </row>
    <row r="132" spans="1:9">
      <c r="A132" s="541">
        <v>110365</v>
      </c>
      <c r="B132" s="541" t="s">
        <v>1269</v>
      </c>
      <c r="C132" s="609">
        <v>70479927</v>
      </c>
      <c r="D132" s="609">
        <v>70479927</v>
      </c>
      <c r="E132" s="543"/>
      <c r="F132" s="608" t="s">
        <v>1973</v>
      </c>
      <c r="G132" s="608" t="s">
        <v>1834</v>
      </c>
      <c r="H132" s="609"/>
      <c r="I132" s="609"/>
    </row>
    <row r="133" spans="1:9">
      <c r="A133" s="541">
        <v>110391</v>
      </c>
      <c r="B133" s="541" t="s">
        <v>1834</v>
      </c>
      <c r="C133" s="609"/>
      <c r="D133" s="609"/>
      <c r="E133" s="543"/>
      <c r="F133" s="608" t="s">
        <v>2517</v>
      </c>
      <c r="G133" s="608" t="s">
        <v>1835</v>
      </c>
      <c r="H133" s="609">
        <v>288988684</v>
      </c>
      <c r="I133" s="609">
        <v>288988684</v>
      </c>
    </row>
    <row r="134" spans="1:9">
      <c r="A134" s="541">
        <v>110391001</v>
      </c>
      <c r="B134" s="541" t="s">
        <v>1835</v>
      </c>
      <c r="C134" s="609">
        <v>288988684</v>
      </c>
      <c r="D134" s="609">
        <v>288988684</v>
      </c>
      <c r="E134" s="543"/>
      <c r="F134" s="608" t="s">
        <v>1973</v>
      </c>
      <c r="G134" s="608" t="s">
        <v>1834</v>
      </c>
      <c r="H134" s="609">
        <v>288988684</v>
      </c>
      <c r="I134" s="609">
        <v>288988684</v>
      </c>
    </row>
    <row r="135" spans="1:9">
      <c r="A135" s="541">
        <v>110391</v>
      </c>
      <c r="B135" s="541" t="s">
        <v>1834</v>
      </c>
      <c r="C135" s="609">
        <v>288988684</v>
      </c>
      <c r="D135" s="609">
        <v>288988684</v>
      </c>
      <c r="E135" s="543"/>
      <c r="F135" s="608" t="s">
        <v>1221</v>
      </c>
      <c r="G135" s="608" t="s">
        <v>1222</v>
      </c>
      <c r="H135" s="610">
        <v>17068317427</v>
      </c>
      <c r="I135" s="610">
        <v>17068317427</v>
      </c>
    </row>
    <row r="136" spans="1:9">
      <c r="A136" s="541">
        <v>1103</v>
      </c>
      <c r="B136" s="541" t="s">
        <v>1222</v>
      </c>
      <c r="C136" s="609">
        <f>17068317427</f>
        <v>17068317427</v>
      </c>
      <c r="D136" s="609">
        <v>17068317427</v>
      </c>
      <c r="E136" s="543">
        <v>-711011316</v>
      </c>
      <c r="F136" s="608" t="s">
        <v>1175</v>
      </c>
      <c r="G136" s="608" t="s">
        <v>1176</v>
      </c>
      <c r="H136" s="609">
        <v>24944107677</v>
      </c>
      <c r="I136" s="609">
        <v>24944107677</v>
      </c>
    </row>
    <row r="137" spans="1:9">
      <c r="A137" s="541">
        <v>11</v>
      </c>
      <c r="B137" s="541" t="s">
        <v>1176</v>
      </c>
      <c r="C137" s="610">
        <v>24944107677</v>
      </c>
      <c r="D137" s="610">
        <v>24944107677</v>
      </c>
      <c r="E137" s="543"/>
      <c r="F137" s="608" t="s">
        <v>1272</v>
      </c>
      <c r="G137" s="608" t="s">
        <v>1273</v>
      </c>
      <c r="H137" s="609"/>
      <c r="I137" s="609"/>
    </row>
    <row r="138" spans="1:9">
      <c r="A138" s="541" t="s">
        <v>1272</v>
      </c>
      <c r="B138" s="541" t="s">
        <v>1273</v>
      </c>
      <c r="C138" s="502">
        <f>+C136-C135</f>
        <v>16779328743</v>
      </c>
      <c r="E138" s="543"/>
      <c r="F138" s="608" t="s">
        <v>1274</v>
      </c>
      <c r="G138" s="608" t="s">
        <v>1275</v>
      </c>
      <c r="H138" s="609"/>
      <c r="I138" s="609"/>
    </row>
    <row r="139" spans="1:9">
      <c r="A139" s="541" t="s">
        <v>1274</v>
      </c>
      <c r="B139" s="541" t="s">
        <v>1275</v>
      </c>
      <c r="E139" s="543"/>
      <c r="F139" s="608" t="s">
        <v>1276</v>
      </c>
      <c r="G139" s="608" t="s">
        <v>1277</v>
      </c>
      <c r="H139" s="610"/>
      <c r="I139" s="610"/>
    </row>
    <row r="140" spans="1:9">
      <c r="A140" s="541" t="s">
        <v>1276</v>
      </c>
      <c r="B140" s="541" t="s">
        <v>1277</v>
      </c>
      <c r="E140" s="543"/>
      <c r="F140" s="608" t="s">
        <v>1974</v>
      </c>
      <c r="G140" s="608" t="s">
        <v>1278</v>
      </c>
      <c r="H140" s="609">
        <v>1655392414</v>
      </c>
      <c r="I140" s="609">
        <v>1655392414</v>
      </c>
    </row>
    <row r="141" spans="1:9">
      <c r="A141" s="541">
        <v>120101001</v>
      </c>
      <c r="B141" s="541" t="s">
        <v>1278</v>
      </c>
      <c r="C141" s="609">
        <v>1655392414</v>
      </c>
      <c r="D141" s="609">
        <v>1655392414</v>
      </c>
      <c r="E141" s="543"/>
      <c r="F141" s="608" t="s">
        <v>1975</v>
      </c>
      <c r="G141" s="608" t="s">
        <v>1279</v>
      </c>
      <c r="H141" s="609">
        <v>-1199358076</v>
      </c>
      <c r="I141" s="609">
        <v>-1199358076</v>
      </c>
    </row>
    <row r="142" spans="1:9">
      <c r="A142" s="541">
        <v>120101211</v>
      </c>
      <c r="B142" s="541" t="s">
        <v>1279</v>
      </c>
      <c r="C142" s="609">
        <v>-1199358076</v>
      </c>
      <c r="D142" s="609">
        <v>-1199358076</v>
      </c>
      <c r="E142" s="543"/>
      <c r="F142" s="608" t="s">
        <v>1276</v>
      </c>
      <c r="G142" s="608" t="s">
        <v>1277</v>
      </c>
      <c r="H142" s="609">
        <v>456034338</v>
      </c>
      <c r="I142" s="609">
        <v>456034338</v>
      </c>
    </row>
    <row r="143" spans="1:9">
      <c r="A143" s="541">
        <v>120101</v>
      </c>
      <c r="B143" s="541" t="s">
        <v>1277</v>
      </c>
      <c r="C143" s="610">
        <v>456034338</v>
      </c>
      <c r="D143" s="610">
        <v>456034338</v>
      </c>
      <c r="E143" s="543"/>
      <c r="F143" s="608" t="s">
        <v>1976</v>
      </c>
      <c r="G143" s="608" t="s">
        <v>1280</v>
      </c>
      <c r="H143" s="609"/>
      <c r="I143" s="609"/>
    </row>
    <row r="144" spans="1:9">
      <c r="A144" s="541">
        <v>120102</v>
      </c>
      <c r="B144" s="541" t="s">
        <v>1280</v>
      </c>
      <c r="C144" s="609"/>
      <c r="D144" s="609"/>
      <c r="E144" s="543"/>
      <c r="F144" s="608" t="s">
        <v>1977</v>
      </c>
      <c r="G144" s="608" t="s">
        <v>969</v>
      </c>
      <c r="H144" s="609">
        <v>451834979</v>
      </c>
      <c r="I144" s="609">
        <v>451834979</v>
      </c>
    </row>
    <row r="145" spans="1:9">
      <c r="A145" s="541">
        <v>120102001</v>
      </c>
      <c r="B145" s="541" t="s">
        <v>969</v>
      </c>
      <c r="C145" s="609">
        <v>451834979</v>
      </c>
      <c r="D145" s="609">
        <v>451834979</v>
      </c>
      <c r="E145" s="543"/>
      <c r="F145" s="608" t="s">
        <v>1978</v>
      </c>
      <c r="G145" s="608" t="s">
        <v>1281</v>
      </c>
      <c r="H145" s="610">
        <v>-414355856</v>
      </c>
      <c r="I145" s="610">
        <v>-414355856</v>
      </c>
    </row>
    <row r="146" spans="1:9">
      <c r="A146" s="541">
        <v>120102002</v>
      </c>
      <c r="B146" s="541" t="s">
        <v>1281</v>
      </c>
      <c r="C146" s="609">
        <v>-414355856</v>
      </c>
      <c r="D146" s="609">
        <v>-414355856</v>
      </c>
      <c r="E146" s="543"/>
      <c r="F146" s="608" t="s">
        <v>1976</v>
      </c>
      <c r="G146" s="608" t="s">
        <v>1280</v>
      </c>
      <c r="H146" s="609">
        <v>37479123</v>
      </c>
      <c r="I146" s="609">
        <v>37479123</v>
      </c>
    </row>
    <row r="147" spans="1:9">
      <c r="A147" s="541">
        <v>120102</v>
      </c>
      <c r="B147" s="541" t="s">
        <v>1280</v>
      </c>
      <c r="C147" s="610">
        <v>37479123</v>
      </c>
      <c r="D147" s="610">
        <v>37479123</v>
      </c>
      <c r="E147" s="543"/>
      <c r="F147" s="608" t="s">
        <v>1979</v>
      </c>
      <c r="G147" s="608" t="s">
        <v>1282</v>
      </c>
      <c r="H147" s="609"/>
      <c r="I147" s="609"/>
    </row>
    <row r="148" spans="1:9">
      <c r="A148" s="541">
        <v>120103</v>
      </c>
      <c r="B148" s="541" t="s">
        <v>1282</v>
      </c>
      <c r="C148" s="609"/>
      <c r="D148" s="609"/>
      <c r="E148" s="543"/>
      <c r="F148" s="608" t="s">
        <v>1980</v>
      </c>
      <c r="G148" s="608" t="s">
        <v>913</v>
      </c>
      <c r="H148" s="610">
        <v>391777720</v>
      </c>
      <c r="I148" s="610">
        <v>391777720</v>
      </c>
    </row>
    <row r="149" spans="1:9">
      <c r="A149" s="541">
        <v>120103001</v>
      </c>
      <c r="B149" s="541" t="s">
        <v>913</v>
      </c>
      <c r="C149" s="609">
        <v>391777720</v>
      </c>
      <c r="D149" s="609">
        <v>391777720</v>
      </c>
      <c r="E149" s="543"/>
      <c r="F149" s="608" t="s">
        <v>1981</v>
      </c>
      <c r="G149" s="608" t="s">
        <v>1283</v>
      </c>
      <c r="H149" s="609">
        <v>-367480409</v>
      </c>
      <c r="I149" s="609">
        <v>-367480409</v>
      </c>
    </row>
    <row r="150" spans="1:9">
      <c r="A150" s="541">
        <v>120103002</v>
      </c>
      <c r="B150" s="541" t="s">
        <v>1283</v>
      </c>
      <c r="C150" s="609">
        <v>-367480409</v>
      </c>
      <c r="D150" s="609">
        <v>-367480409</v>
      </c>
      <c r="E150" s="543"/>
      <c r="F150" s="608" t="s">
        <v>1979</v>
      </c>
      <c r="G150" s="608" t="s">
        <v>1282</v>
      </c>
      <c r="H150" s="609">
        <v>24297311</v>
      </c>
      <c r="I150" s="609">
        <v>24297311</v>
      </c>
    </row>
    <row r="151" spans="1:9">
      <c r="A151" s="541">
        <v>120103</v>
      </c>
      <c r="B151" s="541" t="s">
        <v>1282</v>
      </c>
      <c r="C151" s="609">
        <v>24297311</v>
      </c>
      <c r="D151" s="609">
        <v>24297311</v>
      </c>
      <c r="E151" s="543"/>
      <c r="F151" s="608" t="s">
        <v>1982</v>
      </c>
      <c r="G151" s="608" t="s">
        <v>1284</v>
      </c>
      <c r="H151" s="610"/>
      <c r="I151" s="610"/>
    </row>
    <row r="152" spans="1:9">
      <c r="A152" s="541">
        <v>120111</v>
      </c>
      <c r="B152" s="541" t="s">
        <v>1284</v>
      </c>
      <c r="E152" s="543"/>
      <c r="F152" s="608" t="s">
        <v>1983</v>
      </c>
      <c r="G152" s="608" t="s">
        <v>320</v>
      </c>
      <c r="H152" s="609">
        <v>858888521</v>
      </c>
      <c r="I152" s="609">
        <v>858888521</v>
      </c>
    </row>
    <row r="153" spans="1:9">
      <c r="A153" s="541">
        <v>120111001</v>
      </c>
      <c r="B153" s="541" t="s">
        <v>320</v>
      </c>
      <c r="C153" s="610">
        <v>858888521</v>
      </c>
      <c r="D153" s="610">
        <v>858888521</v>
      </c>
      <c r="E153" s="543"/>
      <c r="F153" s="608" t="s">
        <v>1984</v>
      </c>
      <c r="G153" s="608" t="s">
        <v>1285</v>
      </c>
      <c r="H153" s="609">
        <v>-511505569</v>
      </c>
      <c r="I153" s="609">
        <v>-511505569</v>
      </c>
    </row>
    <row r="154" spans="1:9">
      <c r="A154" s="541">
        <v>120111010</v>
      </c>
      <c r="B154" s="541" t="s">
        <v>1285</v>
      </c>
      <c r="C154" s="610">
        <v>-511505569</v>
      </c>
      <c r="D154" s="610">
        <v>-511505569</v>
      </c>
      <c r="E154" s="543"/>
      <c r="F154" s="608" t="s">
        <v>1982</v>
      </c>
      <c r="G154" s="608" t="s">
        <v>1284</v>
      </c>
      <c r="H154" s="609">
        <v>347382952</v>
      </c>
      <c r="I154" s="609">
        <v>347382952</v>
      </c>
    </row>
    <row r="155" spans="1:9">
      <c r="A155" s="541">
        <v>120111</v>
      </c>
      <c r="B155" s="541" t="s">
        <v>1284</v>
      </c>
      <c r="C155" s="609">
        <v>347382952</v>
      </c>
      <c r="D155" s="609">
        <v>347382952</v>
      </c>
      <c r="E155" s="543"/>
      <c r="F155" s="608" t="s">
        <v>1985</v>
      </c>
      <c r="G155" s="608" t="s">
        <v>1286</v>
      </c>
      <c r="H155" s="610"/>
      <c r="I155" s="610"/>
    </row>
    <row r="156" spans="1:9">
      <c r="A156" s="541">
        <v>120115</v>
      </c>
      <c r="B156" s="541" t="s">
        <v>1286</v>
      </c>
      <c r="C156" s="609"/>
      <c r="D156" s="609"/>
      <c r="E156" s="543"/>
      <c r="F156" s="608" t="s">
        <v>1986</v>
      </c>
      <c r="G156" s="608" t="s">
        <v>1287</v>
      </c>
      <c r="H156" s="609">
        <v>311765700</v>
      </c>
      <c r="I156" s="609">
        <v>311765700</v>
      </c>
    </row>
    <row r="157" spans="1:9">
      <c r="A157" s="541">
        <v>120115011</v>
      </c>
      <c r="B157" s="541" t="s">
        <v>1287</v>
      </c>
      <c r="C157" s="609">
        <v>311765700</v>
      </c>
      <c r="D157" s="609">
        <v>311765700</v>
      </c>
      <c r="E157" s="543"/>
      <c r="F157" s="608" t="s">
        <v>1987</v>
      </c>
      <c r="G157" s="608" t="s">
        <v>1288</v>
      </c>
      <c r="H157" s="609">
        <v>-194165021</v>
      </c>
      <c r="I157" s="609">
        <v>-194165021</v>
      </c>
    </row>
    <row r="158" spans="1:9">
      <c r="A158" s="541">
        <v>120115012</v>
      </c>
      <c r="B158" s="541" t="s">
        <v>1288</v>
      </c>
      <c r="C158" s="610">
        <v>-194165021</v>
      </c>
      <c r="D158" s="610">
        <v>-194165021</v>
      </c>
      <c r="E158" s="543"/>
      <c r="F158" s="608" t="s">
        <v>1988</v>
      </c>
      <c r="G158" s="608" t="s">
        <v>1755</v>
      </c>
      <c r="H158" s="609">
        <v>1802900347</v>
      </c>
      <c r="I158" s="609">
        <v>1802900347</v>
      </c>
    </row>
    <row r="159" spans="1:9">
      <c r="A159" s="541">
        <v>120115013</v>
      </c>
      <c r="B159" s="541" t="s">
        <v>1755</v>
      </c>
      <c r="C159" s="609">
        <v>1802900347</v>
      </c>
      <c r="D159" s="609">
        <v>1802900347</v>
      </c>
      <c r="E159" s="543"/>
      <c r="F159" s="608" t="s">
        <v>1989</v>
      </c>
      <c r="G159" s="608" t="s">
        <v>1289</v>
      </c>
      <c r="H159" s="609">
        <v>-405822740</v>
      </c>
      <c r="I159" s="609">
        <v>-405822740</v>
      </c>
    </row>
    <row r="160" spans="1:9">
      <c r="A160" s="541">
        <v>120115014</v>
      </c>
      <c r="B160" s="541" t="s">
        <v>1289</v>
      </c>
      <c r="C160" s="609">
        <v>-405822740</v>
      </c>
      <c r="D160" s="609">
        <v>-405822740</v>
      </c>
      <c r="E160" s="543"/>
      <c r="F160" s="608" t="s">
        <v>1990</v>
      </c>
      <c r="G160" s="608" t="s">
        <v>1836</v>
      </c>
      <c r="H160" s="610">
        <v>5996000000</v>
      </c>
      <c r="I160" s="610">
        <v>5996000000</v>
      </c>
    </row>
    <row r="161" spans="1:9">
      <c r="A161" s="541">
        <v>120115015</v>
      </c>
      <c r="B161" s="541" t="s">
        <v>1836</v>
      </c>
      <c r="C161" s="609">
        <v>5996000000</v>
      </c>
      <c r="D161" s="609">
        <v>5996000000</v>
      </c>
      <c r="E161" s="543"/>
      <c r="F161" s="608" t="s">
        <v>1985</v>
      </c>
      <c r="G161" s="608" t="s">
        <v>1286</v>
      </c>
      <c r="H161" s="610">
        <v>7510678286</v>
      </c>
      <c r="I161" s="610">
        <v>7510678286</v>
      </c>
    </row>
    <row r="162" spans="1:9">
      <c r="A162" s="541">
        <v>120115</v>
      </c>
      <c r="B162" s="541" t="s">
        <v>1286</v>
      </c>
      <c r="C162" s="610">
        <v>7510678286</v>
      </c>
      <c r="D162" s="610">
        <v>7510678286</v>
      </c>
      <c r="E162" s="543"/>
      <c r="F162" s="608" t="s">
        <v>1991</v>
      </c>
      <c r="G162" s="608" t="s">
        <v>1290</v>
      </c>
      <c r="H162" s="610"/>
      <c r="I162" s="610"/>
    </row>
    <row r="163" spans="1:9">
      <c r="A163" s="541">
        <v>120117</v>
      </c>
      <c r="B163" s="541" t="s">
        <v>1290</v>
      </c>
      <c r="C163" s="609"/>
      <c r="D163" s="609"/>
      <c r="E163" s="543"/>
      <c r="F163" s="608" t="s">
        <v>1992</v>
      </c>
      <c r="G163" s="608" t="s">
        <v>1291</v>
      </c>
      <c r="H163" s="609">
        <v>214933425</v>
      </c>
      <c r="I163" s="609">
        <v>214933425</v>
      </c>
    </row>
    <row r="164" spans="1:9">
      <c r="A164" s="541">
        <v>120117001</v>
      </c>
      <c r="B164" s="541" t="s">
        <v>1291</v>
      </c>
      <c r="C164" s="609">
        <v>214933425</v>
      </c>
      <c r="D164" s="609">
        <v>214933425</v>
      </c>
      <c r="E164" s="543"/>
      <c r="F164" s="608" t="s">
        <v>1993</v>
      </c>
      <c r="G164" s="608" t="s">
        <v>1292</v>
      </c>
      <c r="H164" s="609">
        <v>-188241739</v>
      </c>
      <c r="I164" s="609">
        <v>-188241739</v>
      </c>
    </row>
    <row r="165" spans="1:9">
      <c r="A165" s="541">
        <v>120117002</v>
      </c>
      <c r="B165" s="541" t="s">
        <v>1292</v>
      </c>
      <c r="C165" s="609">
        <v>-188241739</v>
      </c>
      <c r="D165" s="609">
        <v>-188241739</v>
      </c>
      <c r="E165" s="543"/>
      <c r="F165" s="608" t="s">
        <v>1991</v>
      </c>
      <c r="G165" s="608" t="s">
        <v>1290</v>
      </c>
      <c r="H165" s="609">
        <v>26691686</v>
      </c>
      <c r="I165" s="609">
        <v>26691686</v>
      </c>
    </row>
    <row r="166" spans="1:9">
      <c r="A166" s="541">
        <v>120117</v>
      </c>
      <c r="B166" s="541" t="s">
        <v>1290</v>
      </c>
      <c r="C166" s="610">
        <v>26691686</v>
      </c>
      <c r="D166" s="610">
        <v>26691686</v>
      </c>
      <c r="E166" s="543"/>
      <c r="F166" s="608" t="s">
        <v>1994</v>
      </c>
      <c r="G166" s="608" t="s">
        <v>1293</v>
      </c>
      <c r="H166" s="610"/>
      <c r="I166" s="610"/>
    </row>
    <row r="167" spans="1:9">
      <c r="A167" s="541">
        <v>120119</v>
      </c>
      <c r="B167" s="541" t="s">
        <v>1293</v>
      </c>
      <c r="C167" s="609"/>
      <c r="D167" s="609"/>
      <c r="E167" s="543"/>
      <c r="F167" s="608" t="s">
        <v>1995</v>
      </c>
      <c r="G167" s="608" t="s">
        <v>1294</v>
      </c>
      <c r="H167" s="609">
        <v>2113758527</v>
      </c>
      <c r="I167" s="609">
        <v>2113758527</v>
      </c>
    </row>
    <row r="168" spans="1:9">
      <c r="A168" s="541">
        <v>120119001</v>
      </c>
      <c r="B168" s="541" t="s">
        <v>1294</v>
      </c>
      <c r="C168" s="609">
        <v>2113758527</v>
      </c>
      <c r="D168" s="609">
        <v>2113758527</v>
      </c>
      <c r="E168" s="543"/>
      <c r="F168" s="608" t="s">
        <v>1994</v>
      </c>
      <c r="G168" s="608" t="s">
        <v>1293</v>
      </c>
      <c r="H168" s="609">
        <v>2113758527</v>
      </c>
      <c r="I168" s="609">
        <v>2113758527</v>
      </c>
    </row>
    <row r="169" spans="1:9">
      <c r="A169" s="541">
        <v>120119</v>
      </c>
      <c r="B169" s="541" t="s">
        <v>1293</v>
      </c>
      <c r="C169" s="609">
        <v>2113758527</v>
      </c>
      <c r="D169" s="609">
        <v>2113758527</v>
      </c>
      <c r="E169" s="543"/>
      <c r="F169" s="608" t="s">
        <v>1996</v>
      </c>
      <c r="G169" s="608" t="s">
        <v>1295</v>
      </c>
      <c r="H169" s="609">
        <v>3876175511</v>
      </c>
      <c r="I169" s="609">
        <v>3876175511</v>
      </c>
    </row>
    <row r="170" spans="1:9">
      <c r="A170" s="541">
        <v>120120001</v>
      </c>
      <c r="B170" s="541" t="s">
        <v>1295</v>
      </c>
      <c r="C170" s="610">
        <v>3876175511</v>
      </c>
      <c r="D170" s="610">
        <v>3876175511</v>
      </c>
      <c r="E170" s="543"/>
      <c r="F170" s="608" t="s">
        <v>1997</v>
      </c>
      <c r="G170" s="608" t="s">
        <v>1296</v>
      </c>
      <c r="H170" s="610">
        <v>-118077911</v>
      </c>
      <c r="I170" s="610">
        <v>-118077911</v>
      </c>
    </row>
    <row r="171" spans="1:9">
      <c r="A171" s="541">
        <v>120120002</v>
      </c>
      <c r="B171" s="541" t="s">
        <v>1296</v>
      </c>
      <c r="C171" s="609">
        <v>-118077911</v>
      </c>
      <c r="D171" s="609">
        <v>-118077911</v>
      </c>
      <c r="E171" s="543"/>
      <c r="F171" s="608" t="s">
        <v>1998</v>
      </c>
      <c r="G171" s="608" t="s">
        <v>1837</v>
      </c>
      <c r="H171" s="609">
        <v>1617633091</v>
      </c>
      <c r="I171" s="609">
        <v>1617633091</v>
      </c>
    </row>
    <row r="172" spans="1:9">
      <c r="A172" s="541">
        <v>120120003</v>
      </c>
      <c r="B172" s="541" t="s">
        <v>1837</v>
      </c>
      <c r="C172" s="609">
        <v>1617633091</v>
      </c>
      <c r="D172" s="609">
        <v>1617633091</v>
      </c>
      <c r="E172" s="543"/>
      <c r="F172" s="608" t="s">
        <v>1274</v>
      </c>
      <c r="G172" s="608" t="s">
        <v>1275</v>
      </c>
      <c r="H172" s="609">
        <v>15892052914</v>
      </c>
      <c r="I172" s="609">
        <v>15892052914</v>
      </c>
    </row>
    <row r="173" spans="1:9">
      <c r="A173" s="541">
        <v>1201</v>
      </c>
      <c r="B173" s="541" t="s">
        <v>1275</v>
      </c>
      <c r="C173" s="609">
        <v>15892052914</v>
      </c>
      <c r="D173" s="609">
        <v>15892052914</v>
      </c>
      <c r="E173" s="543"/>
      <c r="F173" s="608" t="s">
        <v>1297</v>
      </c>
      <c r="G173" s="608" t="s">
        <v>1298</v>
      </c>
      <c r="H173" s="609"/>
      <c r="I173" s="609"/>
    </row>
    <row r="174" spans="1:9">
      <c r="A174" s="541" t="s">
        <v>1297</v>
      </c>
      <c r="B174" s="541" t="s">
        <v>1298</v>
      </c>
      <c r="C174" s="609"/>
      <c r="D174" s="609"/>
      <c r="E174" s="543"/>
      <c r="F174" s="608" t="s">
        <v>1299</v>
      </c>
      <c r="G174" s="608" t="s">
        <v>1300</v>
      </c>
      <c r="H174" s="610"/>
      <c r="I174" s="610"/>
    </row>
    <row r="175" spans="1:9">
      <c r="A175" s="541" t="s">
        <v>1299</v>
      </c>
      <c r="B175" s="541" t="s">
        <v>1300</v>
      </c>
      <c r="C175" s="609"/>
      <c r="D175" s="609"/>
      <c r="E175" s="543"/>
      <c r="F175" s="608" t="s">
        <v>1301</v>
      </c>
      <c r="G175" s="608" t="s">
        <v>1302</v>
      </c>
      <c r="H175" s="609">
        <v>711546955</v>
      </c>
      <c r="I175" s="609">
        <v>711546955</v>
      </c>
    </row>
    <row r="176" spans="1:9">
      <c r="A176" s="541">
        <v>121111001</v>
      </c>
      <c r="B176" s="541" t="s">
        <v>1302</v>
      </c>
      <c r="C176" s="609">
        <v>711546955</v>
      </c>
      <c r="D176" s="609">
        <v>711546955</v>
      </c>
      <c r="E176" s="543"/>
      <c r="F176" s="608" t="s">
        <v>1303</v>
      </c>
      <c r="G176" s="608" t="s">
        <v>1304</v>
      </c>
      <c r="H176" s="609">
        <v>-710410591</v>
      </c>
      <c r="I176" s="609">
        <v>-710410591</v>
      </c>
    </row>
    <row r="177" spans="1:9">
      <c r="A177" s="541">
        <v>121111002</v>
      </c>
      <c r="B177" s="541" t="s">
        <v>1304</v>
      </c>
      <c r="C177" s="610">
        <v>-710410591</v>
      </c>
      <c r="D177" s="610">
        <v>-710410591</v>
      </c>
      <c r="E177" s="543"/>
      <c r="F177" s="608" t="s">
        <v>1299</v>
      </c>
      <c r="G177" s="608" t="s">
        <v>1300</v>
      </c>
      <c r="H177" s="609">
        <v>1136364</v>
      </c>
      <c r="I177" s="609">
        <v>1136364</v>
      </c>
    </row>
    <row r="178" spans="1:9">
      <c r="A178" s="541">
        <v>121111</v>
      </c>
      <c r="B178" s="541" t="s">
        <v>1300</v>
      </c>
      <c r="C178" s="609">
        <v>1136364</v>
      </c>
      <c r="D178" s="609">
        <v>1136364</v>
      </c>
      <c r="E178" s="543"/>
      <c r="F178" s="608" t="s">
        <v>1305</v>
      </c>
      <c r="G178" s="608" t="s">
        <v>1306</v>
      </c>
      <c r="H178" s="610"/>
      <c r="I178" s="610"/>
    </row>
    <row r="179" spans="1:9">
      <c r="A179" s="541">
        <v>121112</v>
      </c>
      <c r="B179" s="541" t="s">
        <v>1306</v>
      </c>
      <c r="C179" s="609"/>
      <c r="D179" s="609"/>
      <c r="E179" s="543"/>
      <c r="F179" s="608" t="s">
        <v>1999</v>
      </c>
      <c r="G179" s="608" t="s">
        <v>972</v>
      </c>
      <c r="H179" s="609">
        <v>25648145</v>
      </c>
      <c r="I179" s="609">
        <v>25648145</v>
      </c>
    </row>
    <row r="180" spans="1:9">
      <c r="A180" s="541">
        <v>121112001</v>
      </c>
      <c r="B180" s="541" t="s">
        <v>972</v>
      </c>
      <c r="C180" s="609">
        <v>25648145</v>
      </c>
      <c r="D180" s="609">
        <v>25648145</v>
      </c>
      <c r="E180" s="543"/>
      <c r="F180" s="608" t="s">
        <v>2000</v>
      </c>
      <c r="G180" s="608" t="s">
        <v>973</v>
      </c>
      <c r="H180" s="609">
        <v>-25648145</v>
      </c>
      <c r="I180" s="609">
        <v>-25648145</v>
      </c>
    </row>
    <row r="181" spans="1:9">
      <c r="A181" s="541">
        <v>121112002</v>
      </c>
      <c r="B181" s="541" t="s">
        <v>973</v>
      </c>
      <c r="C181" s="610">
        <v>-25648145</v>
      </c>
      <c r="D181" s="610">
        <v>-25648145</v>
      </c>
      <c r="E181" s="543"/>
      <c r="F181" s="608" t="s">
        <v>2001</v>
      </c>
      <c r="G181" s="608" t="s">
        <v>974</v>
      </c>
      <c r="H181" s="609">
        <v>128238974</v>
      </c>
      <c r="I181" s="609">
        <v>128238974</v>
      </c>
    </row>
    <row r="182" spans="1:9">
      <c r="A182" s="541">
        <v>121112003</v>
      </c>
      <c r="B182" s="541" t="s">
        <v>974</v>
      </c>
      <c r="C182" s="609">
        <v>128238974</v>
      </c>
      <c r="D182" s="609">
        <v>128238974</v>
      </c>
      <c r="E182" s="543"/>
      <c r="F182" s="608" t="s">
        <v>2002</v>
      </c>
      <c r="G182" s="608" t="s">
        <v>975</v>
      </c>
      <c r="H182" s="609">
        <v>-87346192</v>
      </c>
      <c r="I182" s="609">
        <v>-87346192</v>
      </c>
    </row>
    <row r="183" spans="1:9">
      <c r="A183" s="541">
        <v>121112004</v>
      </c>
      <c r="B183" s="541" t="s">
        <v>975</v>
      </c>
      <c r="C183" s="609">
        <v>-87346192</v>
      </c>
      <c r="D183" s="609">
        <v>-87346192</v>
      </c>
      <c r="E183" s="543"/>
      <c r="F183" s="608" t="s">
        <v>2003</v>
      </c>
      <c r="G183" s="608" t="s">
        <v>976</v>
      </c>
      <c r="H183" s="609">
        <v>33454548</v>
      </c>
      <c r="I183" s="609">
        <v>33454548</v>
      </c>
    </row>
    <row r="184" spans="1:9">
      <c r="A184" s="541">
        <v>121112011</v>
      </c>
      <c r="B184" s="541" t="s">
        <v>976</v>
      </c>
      <c r="C184" s="609">
        <v>33454548</v>
      </c>
      <c r="D184" s="609">
        <v>33454548</v>
      </c>
      <c r="E184" s="543"/>
      <c r="F184" s="608" t="s">
        <v>2004</v>
      </c>
      <c r="G184" s="608" t="s">
        <v>977</v>
      </c>
      <c r="H184" s="609">
        <v>-32268993</v>
      </c>
      <c r="I184" s="609">
        <v>-32268993</v>
      </c>
    </row>
    <row r="185" spans="1:9">
      <c r="A185" s="541">
        <v>121112012</v>
      </c>
      <c r="B185" s="541" t="s">
        <v>977</v>
      </c>
      <c r="C185" s="609">
        <v>-32268993</v>
      </c>
      <c r="D185" s="609">
        <v>-32268993</v>
      </c>
      <c r="E185" s="543"/>
      <c r="F185" s="608" t="s">
        <v>1305</v>
      </c>
      <c r="G185" s="608" t="s">
        <v>1306</v>
      </c>
      <c r="H185" s="610">
        <v>42078337</v>
      </c>
      <c r="I185" s="610">
        <v>42078337</v>
      </c>
    </row>
    <row r="186" spans="1:9">
      <c r="A186" s="541">
        <v>121112</v>
      </c>
      <c r="B186" s="541" t="s">
        <v>1306</v>
      </c>
      <c r="C186" s="609">
        <v>42078337</v>
      </c>
      <c r="D186" s="609">
        <v>42078337</v>
      </c>
      <c r="E186" s="543"/>
      <c r="F186" s="608" t="s">
        <v>1307</v>
      </c>
      <c r="G186" s="608" t="s">
        <v>1308</v>
      </c>
      <c r="H186" s="609"/>
      <c r="I186" s="609"/>
    </row>
    <row r="187" spans="1:9">
      <c r="A187" s="541">
        <v>121113</v>
      </c>
      <c r="B187" s="541" t="s">
        <v>1308</v>
      </c>
      <c r="E187" s="543"/>
      <c r="F187" s="608" t="s">
        <v>2005</v>
      </c>
      <c r="G187" s="608" t="s">
        <v>978</v>
      </c>
      <c r="H187" s="609">
        <v>144519259</v>
      </c>
      <c r="I187" s="609">
        <v>144519259</v>
      </c>
    </row>
    <row r="188" spans="1:9">
      <c r="A188" s="541">
        <v>121113003</v>
      </c>
      <c r="B188" s="541" t="s">
        <v>978</v>
      </c>
      <c r="C188" s="610">
        <v>144519259</v>
      </c>
      <c r="D188" s="610">
        <v>144519259</v>
      </c>
      <c r="E188" s="543"/>
      <c r="F188" s="608" t="s">
        <v>2006</v>
      </c>
      <c r="G188" s="608" t="s">
        <v>1366</v>
      </c>
      <c r="H188" s="609">
        <v>89003230</v>
      </c>
      <c r="I188" s="609">
        <v>89003230</v>
      </c>
    </row>
    <row r="189" spans="1:9">
      <c r="A189" s="541">
        <v>121113005</v>
      </c>
      <c r="B189" s="541" t="s">
        <v>1366</v>
      </c>
      <c r="C189" s="610">
        <v>89003230</v>
      </c>
      <c r="D189" s="610">
        <v>89003230</v>
      </c>
      <c r="E189" s="543"/>
      <c r="F189" s="608" t="s">
        <v>2007</v>
      </c>
      <c r="G189" s="608" t="s">
        <v>1833</v>
      </c>
      <c r="H189" s="610">
        <v>400000000</v>
      </c>
      <c r="I189" s="610">
        <v>400000000</v>
      </c>
    </row>
    <row r="190" spans="1:9">
      <c r="A190" s="541">
        <v>121113006</v>
      </c>
      <c r="B190" s="541" t="s">
        <v>1833</v>
      </c>
      <c r="C190" s="609">
        <v>400000000</v>
      </c>
      <c r="D190" s="609">
        <v>400000000</v>
      </c>
      <c r="E190" s="543"/>
      <c r="F190" s="608" t="s">
        <v>1307</v>
      </c>
      <c r="G190" s="608" t="s">
        <v>1308</v>
      </c>
      <c r="H190" s="609">
        <v>633522489</v>
      </c>
      <c r="I190" s="609">
        <v>633522489</v>
      </c>
    </row>
    <row r="191" spans="1:9">
      <c r="A191" s="541">
        <v>121113</v>
      </c>
      <c r="B191" s="541" t="s">
        <v>1308</v>
      </c>
      <c r="C191" s="609">
        <v>633522489</v>
      </c>
      <c r="D191" s="609">
        <v>633522489</v>
      </c>
      <c r="E191" s="543"/>
      <c r="F191" s="608" t="s">
        <v>1297</v>
      </c>
      <c r="G191" s="608" t="s">
        <v>1298</v>
      </c>
      <c r="H191" s="609">
        <v>676737190</v>
      </c>
      <c r="I191" s="609">
        <v>676737190</v>
      </c>
    </row>
    <row r="192" spans="1:9">
      <c r="A192" s="541">
        <v>1211</v>
      </c>
      <c r="B192" s="541" t="s">
        <v>1298</v>
      </c>
      <c r="C192" s="609">
        <v>676737190</v>
      </c>
      <c r="D192" s="609">
        <v>676737190</v>
      </c>
      <c r="E192" s="543"/>
      <c r="F192" s="608" t="s">
        <v>1272</v>
      </c>
      <c r="G192" s="608" t="s">
        <v>1273</v>
      </c>
      <c r="H192" s="609">
        <v>16568790104</v>
      </c>
      <c r="I192" s="609">
        <v>16568790104</v>
      </c>
    </row>
    <row r="193" spans="1:9">
      <c r="A193" s="541">
        <v>12</v>
      </c>
      <c r="B193" s="541" t="s">
        <v>1273</v>
      </c>
      <c r="C193" s="610">
        <v>16568790104</v>
      </c>
      <c r="D193" s="610">
        <v>16568790104</v>
      </c>
      <c r="E193" s="543"/>
      <c r="F193" s="608" t="s">
        <v>1174</v>
      </c>
      <c r="G193" s="608" t="s">
        <v>484</v>
      </c>
      <c r="H193" s="609">
        <v>41512897781</v>
      </c>
      <c r="I193" s="609">
        <v>41512897781</v>
      </c>
    </row>
    <row r="194" spans="1:9">
      <c r="A194" s="541">
        <v>1</v>
      </c>
      <c r="B194" s="541" t="s">
        <v>484</v>
      </c>
      <c r="C194" s="609">
        <v>41512897781</v>
      </c>
      <c r="D194" s="609">
        <v>41512897781</v>
      </c>
      <c r="E194" s="543"/>
      <c r="F194" s="608" t="s">
        <v>1309</v>
      </c>
      <c r="G194" s="608" t="s">
        <v>1310</v>
      </c>
      <c r="H194" s="609"/>
      <c r="I194" s="609"/>
    </row>
    <row r="195" spans="1:9">
      <c r="A195" s="541" t="s">
        <v>1309</v>
      </c>
      <c r="B195" s="541" t="s">
        <v>1310</v>
      </c>
      <c r="D195" s="502">
        <f>+D194-'Calc.Aux.'!F8-'Calc.Aux.'!F19-'Calc.Aux.'!F69-'Calc.Aux.'!F83-'Calc.Aux.'!F95-'Calc.Aux.'!F129-'Calc.Aux.'!F140</f>
        <v>1991859617</v>
      </c>
      <c r="E195" s="543"/>
      <c r="F195" s="608" t="s">
        <v>1311</v>
      </c>
      <c r="G195" s="608" t="s">
        <v>487</v>
      </c>
      <c r="H195" s="609"/>
      <c r="I195" s="609"/>
    </row>
    <row r="196" spans="1:9">
      <c r="A196" s="541" t="s">
        <v>1311</v>
      </c>
      <c r="B196" s="541" t="s">
        <v>487</v>
      </c>
      <c r="E196" s="543"/>
      <c r="F196" s="608" t="s">
        <v>1312</v>
      </c>
      <c r="G196" s="608" t="s">
        <v>1313</v>
      </c>
      <c r="H196" s="610"/>
      <c r="I196" s="610"/>
    </row>
    <row r="197" spans="1:9">
      <c r="A197" s="541" t="s">
        <v>1312</v>
      </c>
      <c r="B197" s="541" t="s">
        <v>1313</v>
      </c>
      <c r="E197" s="543"/>
      <c r="F197" s="608" t="s">
        <v>1314</v>
      </c>
      <c r="G197" s="608" t="s">
        <v>1315</v>
      </c>
      <c r="H197" s="610"/>
      <c r="I197" s="610"/>
    </row>
    <row r="198" spans="1:9">
      <c r="A198" s="541" t="s">
        <v>1314</v>
      </c>
      <c r="B198" s="541" t="s">
        <v>1315</v>
      </c>
      <c r="E198" s="543"/>
      <c r="F198" s="608" t="s">
        <v>1316</v>
      </c>
      <c r="G198" s="608" t="s">
        <v>1317</v>
      </c>
      <c r="H198" s="609">
        <v>-9662522</v>
      </c>
      <c r="I198" s="609">
        <v>-9662522</v>
      </c>
    </row>
    <row r="199" spans="1:9">
      <c r="A199" s="541" t="s">
        <v>1316</v>
      </c>
      <c r="B199" s="541" t="s">
        <v>1317</v>
      </c>
      <c r="C199" s="574">
        <v>-9662522</v>
      </c>
      <c r="D199" s="574">
        <v>-9662522</v>
      </c>
      <c r="E199" s="543"/>
      <c r="F199" s="608" t="s">
        <v>1318</v>
      </c>
      <c r="G199" s="608" t="s">
        <v>1319</v>
      </c>
      <c r="H199" s="609">
        <v>-10747380</v>
      </c>
      <c r="I199" s="609">
        <v>-10747380</v>
      </c>
    </row>
    <row r="200" spans="1:9">
      <c r="A200" s="541" t="s">
        <v>1318</v>
      </c>
      <c r="B200" s="541" t="s">
        <v>1319</v>
      </c>
      <c r="C200" s="574">
        <v>-10747380</v>
      </c>
      <c r="D200" s="574">
        <v>-10747380</v>
      </c>
      <c r="E200" s="543"/>
      <c r="F200" s="608" t="s">
        <v>1320</v>
      </c>
      <c r="G200" s="608" t="s">
        <v>1321</v>
      </c>
      <c r="H200" s="609">
        <v>-1883907959</v>
      </c>
      <c r="I200" s="609">
        <v>-1883907959</v>
      </c>
    </row>
    <row r="201" spans="1:9">
      <c r="A201" s="541" t="s">
        <v>1320</v>
      </c>
      <c r="B201" s="541" t="s">
        <v>1321</v>
      </c>
      <c r="C201" s="574">
        <v>-1883907959</v>
      </c>
      <c r="D201" s="574">
        <v>-1883907959</v>
      </c>
      <c r="E201" s="543"/>
      <c r="F201" s="608" t="s">
        <v>1756</v>
      </c>
      <c r="G201" s="608" t="s">
        <v>1757</v>
      </c>
      <c r="H201" s="610">
        <v>5418387</v>
      </c>
      <c r="I201" s="610">
        <v>5418387</v>
      </c>
    </row>
    <row r="202" spans="1:9">
      <c r="A202" s="541" t="s">
        <v>1756</v>
      </c>
      <c r="B202" s="541" t="s">
        <v>1757</v>
      </c>
      <c r="C202" s="574">
        <v>5418387</v>
      </c>
      <c r="D202" s="574">
        <v>5418387</v>
      </c>
      <c r="E202" s="543"/>
      <c r="F202" s="608" t="s">
        <v>1758</v>
      </c>
      <c r="G202" s="608" t="s">
        <v>1759</v>
      </c>
      <c r="H202" s="609">
        <v>-16942360</v>
      </c>
      <c r="I202" s="609">
        <v>-16942360</v>
      </c>
    </row>
    <row r="203" spans="1:9">
      <c r="A203" s="541" t="s">
        <v>1758</v>
      </c>
      <c r="B203" s="541" t="s">
        <v>1759</v>
      </c>
      <c r="C203" s="574">
        <v>-16942360</v>
      </c>
      <c r="D203" s="574">
        <v>-16942360</v>
      </c>
      <c r="E203" s="543"/>
      <c r="F203" s="608" t="s">
        <v>1760</v>
      </c>
      <c r="G203" s="608" t="s">
        <v>1761</v>
      </c>
      <c r="H203" s="609">
        <v>-40199934</v>
      </c>
      <c r="I203" s="609">
        <v>-40199934</v>
      </c>
    </row>
    <row r="204" spans="1:9">
      <c r="A204" s="541" t="s">
        <v>1760</v>
      </c>
      <c r="B204" s="541" t="s">
        <v>1761</v>
      </c>
      <c r="C204" s="574">
        <v>-40199934</v>
      </c>
      <c r="D204" s="574">
        <v>-40199934</v>
      </c>
      <c r="E204" s="543"/>
      <c r="F204" s="608" t="s">
        <v>1322</v>
      </c>
      <c r="G204" s="608" t="s">
        <v>1323</v>
      </c>
      <c r="H204" s="609">
        <v>-215293329</v>
      </c>
      <c r="I204" s="609">
        <v>-215293329</v>
      </c>
    </row>
    <row r="205" spans="1:9">
      <c r="A205" s="541" t="s">
        <v>1322</v>
      </c>
      <c r="B205" s="541" t="s">
        <v>1323</v>
      </c>
      <c r="C205" s="574">
        <v>-215293329</v>
      </c>
      <c r="D205" s="574">
        <v>-215293329</v>
      </c>
      <c r="E205" s="543"/>
      <c r="F205" s="608" t="s">
        <v>1324</v>
      </c>
      <c r="G205" s="608" t="s">
        <v>1325</v>
      </c>
      <c r="H205" s="609">
        <v>-1215809754</v>
      </c>
      <c r="I205" s="609">
        <v>-1215809754</v>
      </c>
    </row>
    <row r="206" spans="1:9">
      <c r="A206" s="541" t="s">
        <v>1324</v>
      </c>
      <c r="B206" s="541" t="s">
        <v>1325</v>
      </c>
      <c r="C206" s="574">
        <v>-1215809754</v>
      </c>
      <c r="D206" s="574">
        <v>-1215809754</v>
      </c>
      <c r="E206" s="543"/>
      <c r="F206" s="608" t="s">
        <v>2518</v>
      </c>
      <c r="G206" s="608" t="s">
        <v>2519</v>
      </c>
      <c r="H206" s="609">
        <v>1419500</v>
      </c>
      <c r="I206" s="609">
        <v>1419500</v>
      </c>
    </row>
    <row r="207" spans="1:9">
      <c r="A207" s="692"/>
      <c r="B207" s="692" t="s">
        <v>2519</v>
      </c>
      <c r="C207" s="693">
        <v>1419500</v>
      </c>
      <c r="D207" s="693">
        <v>1419500</v>
      </c>
      <c r="E207" s="543"/>
      <c r="F207" s="608" t="s">
        <v>1762</v>
      </c>
      <c r="G207" s="608" t="s">
        <v>1763</v>
      </c>
      <c r="H207" s="609">
        <v>26525377</v>
      </c>
      <c r="I207" s="609">
        <v>26525377</v>
      </c>
    </row>
    <row r="208" spans="1:9">
      <c r="A208" s="541" t="s">
        <v>1762</v>
      </c>
      <c r="B208" s="541" t="s">
        <v>1763</v>
      </c>
      <c r="C208" s="574">
        <v>26525377</v>
      </c>
      <c r="D208" s="574">
        <v>26525377</v>
      </c>
      <c r="E208" s="543"/>
      <c r="F208" s="608" t="s">
        <v>1838</v>
      </c>
      <c r="G208" s="608" t="s">
        <v>996</v>
      </c>
      <c r="H208" s="609">
        <v>-39044350</v>
      </c>
      <c r="I208" s="609">
        <v>-39044350</v>
      </c>
    </row>
    <row r="209" spans="1:9">
      <c r="A209" s="541" t="s">
        <v>1838</v>
      </c>
      <c r="B209" s="541" t="s">
        <v>996</v>
      </c>
      <c r="C209" s="574">
        <v>-39044350</v>
      </c>
      <c r="D209" s="574">
        <v>-39044350</v>
      </c>
      <c r="E209" s="543"/>
      <c r="F209" s="608" t="s">
        <v>1839</v>
      </c>
      <c r="G209" s="608" t="s">
        <v>997</v>
      </c>
      <c r="H209" s="609">
        <v>-37345892</v>
      </c>
      <c r="I209" s="609">
        <v>-37345892</v>
      </c>
    </row>
    <row r="210" spans="1:9">
      <c r="A210" s="541" t="s">
        <v>1839</v>
      </c>
      <c r="B210" s="541" t="s">
        <v>997</v>
      </c>
      <c r="C210" s="574">
        <v>-37345892</v>
      </c>
      <c r="D210" s="574">
        <v>-37345892</v>
      </c>
      <c r="E210" s="543"/>
      <c r="F210" s="608" t="s">
        <v>1840</v>
      </c>
      <c r="G210" s="608" t="s">
        <v>1841</v>
      </c>
      <c r="H210" s="610">
        <v>-128212655</v>
      </c>
      <c r="I210" s="610">
        <v>-128212655</v>
      </c>
    </row>
    <row r="211" spans="1:9">
      <c r="A211" s="541" t="s">
        <v>1840</v>
      </c>
      <c r="B211" s="541" t="s">
        <v>1841</v>
      </c>
      <c r="C211" s="574">
        <v>-128212655</v>
      </c>
      <c r="D211" s="574">
        <v>-128212655</v>
      </c>
      <c r="E211" s="543"/>
      <c r="F211" s="608" t="s">
        <v>1326</v>
      </c>
      <c r="G211" s="608" t="s">
        <v>1327</v>
      </c>
      <c r="H211" s="609">
        <v>-1430370840</v>
      </c>
      <c r="I211" s="609">
        <v>-1430370840</v>
      </c>
    </row>
    <row r="212" spans="1:9">
      <c r="A212" s="541" t="s">
        <v>1326</v>
      </c>
      <c r="B212" s="541" t="s">
        <v>1327</v>
      </c>
      <c r="C212" s="574">
        <v>-1430370840</v>
      </c>
      <c r="D212" s="574">
        <v>-1430370840</v>
      </c>
      <c r="E212" s="543"/>
      <c r="F212" s="608" t="s">
        <v>1314</v>
      </c>
      <c r="G212" s="608" t="s">
        <v>1315</v>
      </c>
      <c r="H212" s="609">
        <v>-4994173711</v>
      </c>
      <c r="I212" s="609">
        <v>-4994173711</v>
      </c>
    </row>
    <row r="213" spans="1:9">
      <c r="A213" s="541" t="s">
        <v>1314</v>
      </c>
      <c r="B213" s="541" t="s">
        <v>1315</v>
      </c>
      <c r="C213" s="574">
        <v>-4994173711</v>
      </c>
      <c r="D213" s="574">
        <v>-4994173711</v>
      </c>
      <c r="E213" s="543"/>
      <c r="F213" s="608" t="s">
        <v>1328</v>
      </c>
      <c r="G213" s="608" t="s">
        <v>1329</v>
      </c>
      <c r="H213" s="609"/>
      <c r="I213" s="609"/>
    </row>
    <row r="214" spans="1:9">
      <c r="A214" s="541" t="s">
        <v>1328</v>
      </c>
      <c r="B214" s="541" t="s">
        <v>1329</v>
      </c>
      <c r="E214" s="543"/>
      <c r="F214" s="608" t="s">
        <v>1330</v>
      </c>
      <c r="G214" s="608" t="s">
        <v>896</v>
      </c>
      <c r="H214" s="609">
        <v>-53760769</v>
      </c>
      <c r="I214" s="609">
        <v>-53760769</v>
      </c>
    </row>
    <row r="215" spans="1:9">
      <c r="A215" s="541" t="s">
        <v>1330</v>
      </c>
      <c r="B215" s="541" t="s">
        <v>896</v>
      </c>
      <c r="C215" s="610">
        <v>-53760769</v>
      </c>
      <c r="D215" s="610">
        <v>-53760769</v>
      </c>
      <c r="E215" s="543"/>
      <c r="F215" s="608" t="s">
        <v>1331</v>
      </c>
      <c r="G215" s="608" t="s">
        <v>1332</v>
      </c>
      <c r="H215" s="609">
        <v>-55299897</v>
      </c>
      <c r="I215" s="609">
        <v>-55299897</v>
      </c>
    </row>
    <row r="216" spans="1:9">
      <c r="A216" s="541" t="s">
        <v>1331</v>
      </c>
      <c r="B216" s="541" t="s">
        <v>1332</v>
      </c>
      <c r="C216" s="610">
        <v>-55299897</v>
      </c>
      <c r="D216" s="610">
        <v>-55299897</v>
      </c>
      <c r="E216" s="543"/>
      <c r="F216" s="608" t="s">
        <v>1333</v>
      </c>
      <c r="G216" s="608" t="s">
        <v>1334</v>
      </c>
      <c r="H216" s="609">
        <v>-64956366</v>
      </c>
      <c r="I216" s="609">
        <v>-64956366</v>
      </c>
    </row>
    <row r="217" spans="1:9">
      <c r="A217" s="541" t="s">
        <v>1333</v>
      </c>
      <c r="B217" s="541" t="s">
        <v>1334</v>
      </c>
      <c r="C217" s="609">
        <v>-64956366</v>
      </c>
      <c r="D217" s="609">
        <v>-64956366</v>
      </c>
      <c r="E217" s="543"/>
      <c r="F217" s="608" t="s">
        <v>1328</v>
      </c>
      <c r="G217" s="608" t="s">
        <v>1329</v>
      </c>
      <c r="H217" s="609">
        <v>-174017032</v>
      </c>
      <c r="I217" s="609">
        <v>-174017032</v>
      </c>
    </row>
    <row r="218" spans="1:9">
      <c r="A218" s="541" t="s">
        <v>1328</v>
      </c>
      <c r="B218" s="541" t="s">
        <v>1329</v>
      </c>
      <c r="C218" s="609">
        <v>-174017032</v>
      </c>
      <c r="D218" s="609">
        <v>-174017032</v>
      </c>
      <c r="E218" s="543"/>
      <c r="F218" s="608" t="s">
        <v>1335</v>
      </c>
      <c r="G218" s="608" t="s">
        <v>1336</v>
      </c>
      <c r="H218" s="609"/>
      <c r="I218" s="609"/>
    </row>
    <row r="219" spans="1:9">
      <c r="A219" s="541" t="s">
        <v>1335</v>
      </c>
      <c r="B219" s="541" t="s">
        <v>1336</v>
      </c>
      <c r="E219" s="543"/>
      <c r="F219" s="608" t="s">
        <v>2520</v>
      </c>
      <c r="G219" s="608" t="s">
        <v>2067</v>
      </c>
      <c r="H219" s="609">
        <v>-10711960</v>
      </c>
      <c r="I219" s="609">
        <v>-10711960</v>
      </c>
    </row>
    <row r="220" spans="1:9">
      <c r="A220" s="541">
        <v>210121009</v>
      </c>
      <c r="B220" s="541" t="s">
        <v>993</v>
      </c>
      <c r="C220" s="574"/>
      <c r="D220" s="574"/>
      <c r="E220" s="543"/>
      <c r="F220" s="608" t="s">
        <v>2010</v>
      </c>
      <c r="G220" s="608" t="s">
        <v>1764</v>
      </c>
      <c r="H220" s="610">
        <v>-37510370</v>
      </c>
      <c r="I220" s="610">
        <v>-37510370</v>
      </c>
    </row>
    <row r="221" spans="1:9">
      <c r="A221" s="541">
        <v>210121011</v>
      </c>
      <c r="B221" s="614" t="s">
        <v>2067</v>
      </c>
      <c r="C221" s="574">
        <v>-10711960</v>
      </c>
      <c r="D221" s="574">
        <v>-10711960</v>
      </c>
      <c r="E221" s="543"/>
      <c r="F221" s="608" t="s">
        <v>1335</v>
      </c>
      <c r="G221" s="608" t="s">
        <v>1336</v>
      </c>
      <c r="H221" s="610">
        <v>-48222330</v>
      </c>
      <c r="I221" s="610">
        <v>-48222330</v>
      </c>
    </row>
    <row r="222" spans="1:9">
      <c r="A222" s="541">
        <v>210121031</v>
      </c>
      <c r="B222" s="541" t="s">
        <v>994</v>
      </c>
      <c r="C222" s="574"/>
      <c r="D222" s="574"/>
      <c r="E222" s="543"/>
      <c r="F222" s="608" t="s">
        <v>1312</v>
      </c>
      <c r="G222" s="608" t="s">
        <v>1313</v>
      </c>
      <c r="H222" s="610">
        <v>-5216413073</v>
      </c>
      <c r="I222" s="610">
        <v>-5216413073</v>
      </c>
    </row>
    <row r="223" spans="1:9">
      <c r="A223" s="541">
        <v>210121041</v>
      </c>
      <c r="B223" s="541" t="s">
        <v>1764</v>
      </c>
      <c r="C223" s="574">
        <v>-37510370</v>
      </c>
      <c r="D223" s="574">
        <v>-37510370</v>
      </c>
      <c r="E223" s="543"/>
      <c r="F223" s="608"/>
      <c r="G223" s="608"/>
      <c r="H223" s="610"/>
      <c r="I223" s="610"/>
    </row>
    <row r="224" spans="1:9">
      <c r="A224" s="541">
        <v>210121</v>
      </c>
      <c r="B224" s="541" t="s">
        <v>1336</v>
      </c>
      <c r="C224" s="574">
        <v>-48222330</v>
      </c>
      <c r="D224" s="574">
        <v>-48222330</v>
      </c>
      <c r="E224" s="543"/>
      <c r="F224" s="608"/>
      <c r="G224" s="608"/>
      <c r="H224" s="610"/>
      <c r="I224" s="610"/>
    </row>
    <row r="225" spans="1:9">
      <c r="A225" s="541">
        <v>2101</v>
      </c>
      <c r="B225" s="541" t="s">
        <v>1313</v>
      </c>
      <c r="C225" s="574">
        <v>-5216413073</v>
      </c>
      <c r="D225" s="574">
        <v>-5216413073</v>
      </c>
      <c r="E225" s="543"/>
      <c r="F225" s="608"/>
      <c r="G225" s="608"/>
      <c r="H225" s="610"/>
      <c r="I225" s="610"/>
    </row>
    <row r="226" spans="1:9">
      <c r="A226" s="541" t="s">
        <v>1337</v>
      </c>
      <c r="B226" s="541" t="s">
        <v>1338</v>
      </c>
      <c r="E226" s="543"/>
      <c r="F226" s="608" t="s">
        <v>1337</v>
      </c>
      <c r="G226" s="608" t="s">
        <v>1338</v>
      </c>
      <c r="H226" s="610"/>
      <c r="I226" s="610"/>
    </row>
    <row r="227" spans="1:9">
      <c r="A227" s="541" t="s">
        <v>1339</v>
      </c>
      <c r="B227" s="541" t="s">
        <v>1719</v>
      </c>
      <c r="C227" s="609">
        <v>-1151282092</v>
      </c>
      <c r="D227" s="609">
        <v>-1151282092</v>
      </c>
      <c r="E227" s="543"/>
      <c r="F227" s="608" t="s">
        <v>2521</v>
      </c>
      <c r="G227" s="608" t="s">
        <v>1719</v>
      </c>
      <c r="H227" s="609">
        <v>-1151282092</v>
      </c>
      <c r="I227" s="609">
        <v>-1151282092</v>
      </c>
    </row>
    <row r="228" spans="1:9">
      <c r="A228" s="541" t="s">
        <v>1341</v>
      </c>
      <c r="B228" s="541" t="s">
        <v>1842</v>
      </c>
      <c r="C228" s="609">
        <v>-53571429</v>
      </c>
      <c r="D228" s="609">
        <v>-53571429</v>
      </c>
      <c r="E228" s="543"/>
      <c r="F228" s="608" t="s">
        <v>1339</v>
      </c>
      <c r="G228" s="608" t="s">
        <v>1842</v>
      </c>
      <c r="H228" s="609">
        <v>-53571429</v>
      </c>
      <c r="I228" s="609">
        <v>-53571429</v>
      </c>
    </row>
    <row r="229" spans="1:9">
      <c r="A229" s="541"/>
      <c r="B229" s="692" t="s">
        <v>980</v>
      </c>
      <c r="C229" s="693">
        <v>-53571429</v>
      </c>
      <c r="D229" s="693">
        <v>-53571429</v>
      </c>
      <c r="E229" s="543"/>
      <c r="F229" s="608" t="s">
        <v>1341</v>
      </c>
      <c r="G229" s="608" t="s">
        <v>980</v>
      </c>
      <c r="H229" s="609">
        <v>-53571429</v>
      </c>
      <c r="I229" s="609">
        <v>-53571429</v>
      </c>
    </row>
    <row r="230" spans="1:9">
      <c r="A230" s="541" t="s">
        <v>1343</v>
      </c>
      <c r="B230" s="541" t="s">
        <v>981</v>
      </c>
      <c r="C230" s="609">
        <v>-83333330</v>
      </c>
      <c r="D230" s="609">
        <v>-83333330</v>
      </c>
      <c r="E230" s="543"/>
      <c r="F230" s="608" t="s">
        <v>1343</v>
      </c>
      <c r="G230" s="608" t="s">
        <v>981</v>
      </c>
      <c r="H230" s="609">
        <v>-83333330</v>
      </c>
      <c r="I230" s="609">
        <v>-83333330</v>
      </c>
    </row>
    <row r="231" spans="1:9">
      <c r="A231" s="541" t="s">
        <v>1345</v>
      </c>
      <c r="B231" s="541" t="s">
        <v>982</v>
      </c>
      <c r="C231" s="609">
        <v>-162800000</v>
      </c>
      <c r="D231" s="609">
        <v>-162800000</v>
      </c>
      <c r="E231" s="543"/>
      <c r="F231" s="608" t="s">
        <v>1345</v>
      </c>
      <c r="G231" s="608" t="s">
        <v>982</v>
      </c>
      <c r="H231" s="609">
        <v>-162800000</v>
      </c>
      <c r="I231" s="609">
        <v>-162800000</v>
      </c>
    </row>
    <row r="232" spans="1:9">
      <c r="A232" s="541" t="s">
        <v>1765</v>
      </c>
      <c r="B232" s="541" t="s">
        <v>983</v>
      </c>
      <c r="C232" s="610">
        <v>-33333329</v>
      </c>
      <c r="D232" s="610">
        <v>-33333329</v>
      </c>
      <c r="E232" s="543"/>
      <c r="F232" s="608" t="s">
        <v>1765</v>
      </c>
      <c r="G232" s="608" t="s">
        <v>983</v>
      </c>
      <c r="H232" s="609">
        <v>-33333329</v>
      </c>
      <c r="I232" s="609">
        <v>-33333329</v>
      </c>
    </row>
    <row r="233" spans="1:9">
      <c r="A233" s="541" t="s">
        <v>1347</v>
      </c>
      <c r="B233" s="541" t="s">
        <v>984</v>
      </c>
      <c r="C233" s="609">
        <v>-52499997</v>
      </c>
      <c r="D233" s="609">
        <v>-52499997</v>
      </c>
      <c r="E233" s="543"/>
      <c r="F233" s="608" t="s">
        <v>1347</v>
      </c>
      <c r="G233" s="608" t="s">
        <v>984</v>
      </c>
      <c r="H233" s="609">
        <v>-52499997</v>
      </c>
      <c r="I233" s="609">
        <v>-52499997</v>
      </c>
    </row>
    <row r="234" spans="1:9">
      <c r="A234" s="541" t="s">
        <v>2012</v>
      </c>
      <c r="B234" s="541" t="s">
        <v>1004</v>
      </c>
      <c r="C234" s="609">
        <v>-288505898</v>
      </c>
      <c r="D234" s="609">
        <v>-288505898</v>
      </c>
      <c r="E234" s="543"/>
      <c r="F234" s="608" t="s">
        <v>2012</v>
      </c>
      <c r="G234" s="608" t="s">
        <v>1004</v>
      </c>
      <c r="H234" s="609">
        <v>-288505898</v>
      </c>
      <c r="I234" s="609">
        <v>-288505898</v>
      </c>
    </row>
    <row r="235" spans="1:9">
      <c r="A235" s="541" t="s">
        <v>2031</v>
      </c>
      <c r="B235" s="541" t="s">
        <v>1843</v>
      </c>
      <c r="C235" s="609"/>
      <c r="D235" s="609"/>
      <c r="E235" s="543"/>
      <c r="F235" s="608" t="s">
        <v>2522</v>
      </c>
      <c r="G235" s="608" t="s">
        <v>2013</v>
      </c>
      <c r="H235" s="609">
        <v>-700000000</v>
      </c>
      <c r="I235" s="609">
        <v>-700000000</v>
      </c>
    </row>
    <row r="236" spans="1:9">
      <c r="A236" s="541" t="s">
        <v>2032</v>
      </c>
      <c r="B236" s="541" t="s">
        <v>985</v>
      </c>
      <c r="C236" s="609"/>
      <c r="D236" s="609"/>
      <c r="E236" s="543"/>
      <c r="F236" s="608" t="s">
        <v>2523</v>
      </c>
      <c r="G236" s="608" t="s">
        <v>2013</v>
      </c>
      <c r="H236" s="609">
        <v>-400000000</v>
      </c>
      <c r="I236" s="609">
        <v>-400000000</v>
      </c>
    </row>
    <row r="237" spans="1:9">
      <c r="A237" s="614">
        <v>211101206</v>
      </c>
      <c r="B237" s="614" t="s">
        <v>2013</v>
      </c>
      <c r="C237" s="609">
        <v>-700000000</v>
      </c>
      <c r="D237" s="609">
        <v>-700000000</v>
      </c>
      <c r="E237" s="543"/>
      <c r="F237" s="608" t="s">
        <v>2524</v>
      </c>
      <c r="G237" s="608" t="s">
        <v>2014</v>
      </c>
      <c r="H237" s="609">
        <v>-5400000000</v>
      </c>
      <c r="I237" s="609">
        <v>-5400000000</v>
      </c>
    </row>
    <row r="238" spans="1:9">
      <c r="A238" s="614">
        <v>211101207</v>
      </c>
      <c r="B238" s="614" t="s">
        <v>2013</v>
      </c>
      <c r="C238" s="610">
        <v>-400000000</v>
      </c>
      <c r="D238" s="610">
        <v>-400000000</v>
      </c>
      <c r="E238" s="543"/>
      <c r="F238" s="608" t="s">
        <v>1349</v>
      </c>
      <c r="G238" s="608" t="s">
        <v>1350</v>
      </c>
      <c r="H238" s="609">
        <v>-529088777</v>
      </c>
      <c r="I238" s="609">
        <v>-529088777</v>
      </c>
    </row>
    <row r="239" spans="1:9">
      <c r="A239" s="614">
        <v>211101208</v>
      </c>
      <c r="B239" s="614" t="s">
        <v>2014</v>
      </c>
      <c r="C239" s="609">
        <v>-5400000000</v>
      </c>
      <c r="D239" s="609">
        <v>-5400000000</v>
      </c>
      <c r="E239" s="543"/>
      <c r="F239" s="608" t="s">
        <v>1351</v>
      </c>
      <c r="G239" s="608" t="s">
        <v>1352</v>
      </c>
      <c r="H239" s="609">
        <v>861165599</v>
      </c>
      <c r="I239" s="609">
        <v>861165599</v>
      </c>
    </row>
    <row r="240" spans="1:9">
      <c r="A240" s="541" t="s">
        <v>1349</v>
      </c>
      <c r="B240" s="541" t="s">
        <v>1350</v>
      </c>
      <c r="C240" s="609">
        <v>-529088777</v>
      </c>
      <c r="D240" s="609">
        <v>-529088777</v>
      </c>
      <c r="E240" s="543"/>
      <c r="F240" s="608" t="s">
        <v>1337</v>
      </c>
      <c r="G240" s="608" t="s">
        <v>1338</v>
      </c>
      <c r="H240" s="609">
        <v>-8046820682</v>
      </c>
      <c r="I240" s="609">
        <v>-8046820682</v>
      </c>
    </row>
    <row r="241" spans="1:9">
      <c r="A241" s="541" t="s">
        <v>1351</v>
      </c>
      <c r="B241" s="541" t="s">
        <v>1352</v>
      </c>
      <c r="C241" s="609">
        <v>861165599</v>
      </c>
      <c r="D241" s="609">
        <v>861165599</v>
      </c>
      <c r="E241" s="543"/>
      <c r="F241" s="608" t="s">
        <v>1353</v>
      </c>
      <c r="G241" s="608" t="s">
        <v>1354</v>
      </c>
      <c r="H241" s="610"/>
      <c r="I241" s="610"/>
    </row>
    <row r="242" spans="1:9">
      <c r="A242" s="541" t="s">
        <v>1337</v>
      </c>
      <c r="B242" s="541" t="s">
        <v>1338</v>
      </c>
      <c r="C242" s="609">
        <v>-8046820682</v>
      </c>
      <c r="D242" s="609">
        <v>-8046820682</v>
      </c>
      <c r="E242" s="543"/>
      <c r="F242" s="608" t="s">
        <v>1355</v>
      </c>
      <c r="G242" s="608"/>
      <c r="H242" s="609"/>
      <c r="I242" s="609"/>
    </row>
    <row r="243" spans="1:9">
      <c r="A243" s="541" t="s">
        <v>1353</v>
      </c>
      <c r="B243" s="541" t="s">
        <v>1354</v>
      </c>
      <c r="E243" s="543"/>
      <c r="F243" s="608" t="s">
        <v>1356</v>
      </c>
      <c r="G243" s="608" t="s">
        <v>1357</v>
      </c>
      <c r="H243" s="609">
        <v>-1740384572</v>
      </c>
      <c r="I243" s="609">
        <v>-1740384572</v>
      </c>
    </row>
    <row r="244" spans="1:9">
      <c r="A244" s="541" t="s">
        <v>1355</v>
      </c>
      <c r="B244" s="541"/>
      <c r="E244" s="543"/>
      <c r="F244" s="608" t="s">
        <v>1358</v>
      </c>
      <c r="G244" s="608" t="s">
        <v>1359</v>
      </c>
      <c r="H244" s="609">
        <v>-81666690</v>
      </c>
      <c r="I244" s="609">
        <v>-81666690</v>
      </c>
    </row>
    <row r="245" spans="1:9">
      <c r="A245" s="541">
        <v>217101101</v>
      </c>
      <c r="B245" s="541" t="s">
        <v>1357</v>
      </c>
      <c r="C245" s="574">
        <v>-1740384572</v>
      </c>
      <c r="D245" s="574">
        <v>-1740384572</v>
      </c>
      <c r="E245" s="543"/>
      <c r="F245" s="608" t="s">
        <v>1767</v>
      </c>
      <c r="G245" s="608" t="s">
        <v>1768</v>
      </c>
      <c r="H245" s="609">
        <v>-112166826</v>
      </c>
      <c r="I245" s="609">
        <v>-112166826</v>
      </c>
    </row>
    <row r="246" spans="1:9">
      <c r="A246" s="541">
        <v>217101102</v>
      </c>
      <c r="B246" s="541" t="s">
        <v>1359</v>
      </c>
      <c r="C246" s="574">
        <v>-81666690</v>
      </c>
      <c r="D246" s="574">
        <v>-81666690</v>
      </c>
      <c r="E246" s="543"/>
      <c r="F246" s="608" t="s">
        <v>1360</v>
      </c>
      <c r="G246" s="608" t="s">
        <v>1361</v>
      </c>
      <c r="H246" s="609">
        <v>-225000019</v>
      </c>
      <c r="I246" s="609">
        <v>-225000019</v>
      </c>
    </row>
    <row r="247" spans="1:9">
      <c r="A247" s="541">
        <v>217101103</v>
      </c>
      <c r="B247" s="541" t="s">
        <v>1768</v>
      </c>
      <c r="C247" s="574">
        <v>-112166826</v>
      </c>
      <c r="D247" s="574">
        <v>-112166826</v>
      </c>
      <c r="E247" s="543"/>
      <c r="F247" s="608" t="s">
        <v>2015</v>
      </c>
      <c r="G247" s="608" t="s">
        <v>1002</v>
      </c>
      <c r="H247" s="610">
        <v>-737292837</v>
      </c>
      <c r="I247" s="610">
        <v>-737292837</v>
      </c>
    </row>
    <row r="248" spans="1:9">
      <c r="A248" s="541">
        <v>217101104</v>
      </c>
      <c r="B248" s="541" t="s">
        <v>1361</v>
      </c>
      <c r="C248" s="574">
        <v>-225000019</v>
      </c>
      <c r="D248" s="574">
        <v>-225000019</v>
      </c>
      <c r="E248" s="543"/>
      <c r="F248" s="608" t="s">
        <v>1363</v>
      </c>
      <c r="G248" s="608" t="s">
        <v>1364</v>
      </c>
      <c r="H248" s="609">
        <v>-605059421</v>
      </c>
      <c r="I248" s="609">
        <v>-605059421</v>
      </c>
    </row>
    <row r="249" spans="1:9">
      <c r="A249" s="541">
        <v>217101106</v>
      </c>
      <c r="B249" s="541" t="s">
        <v>986</v>
      </c>
      <c r="C249" s="574"/>
      <c r="D249" s="574"/>
      <c r="E249" s="543"/>
      <c r="F249" s="608" t="s">
        <v>1365</v>
      </c>
      <c r="G249" s="608" t="s">
        <v>1366</v>
      </c>
      <c r="H249" s="609">
        <v>605059419</v>
      </c>
      <c r="I249" s="609">
        <v>605059419</v>
      </c>
    </row>
    <row r="250" spans="1:9">
      <c r="A250" s="541">
        <v>217101107</v>
      </c>
      <c r="B250" s="541" t="s">
        <v>987</v>
      </c>
      <c r="C250" s="574"/>
      <c r="D250" s="574"/>
      <c r="E250" s="543"/>
      <c r="F250" s="608" t="s">
        <v>1367</v>
      </c>
      <c r="G250" s="608" t="s">
        <v>1368</v>
      </c>
      <c r="H250" s="609">
        <v>-142857140</v>
      </c>
      <c r="I250" s="609">
        <v>-142857140</v>
      </c>
    </row>
    <row r="251" spans="1:9">
      <c r="A251" s="541" t="s">
        <v>2015</v>
      </c>
      <c r="B251" s="541" t="s">
        <v>1002</v>
      </c>
      <c r="C251" s="574">
        <v>-737292837</v>
      </c>
      <c r="D251" s="574">
        <v>-737292837</v>
      </c>
      <c r="E251" s="543"/>
      <c r="F251" s="608" t="s">
        <v>1355</v>
      </c>
      <c r="G251" s="608"/>
      <c r="H251" s="609">
        <v>-3039368086</v>
      </c>
      <c r="I251" s="609">
        <v>-3039368086</v>
      </c>
    </row>
    <row r="252" spans="1:9">
      <c r="A252" s="541" t="s">
        <v>1363</v>
      </c>
      <c r="B252" s="541" t="s">
        <v>1364</v>
      </c>
      <c r="C252" s="574">
        <v>-605059421</v>
      </c>
      <c r="D252" s="574">
        <v>-605059421</v>
      </c>
      <c r="E252" s="543"/>
      <c r="F252" s="608" t="s">
        <v>1353</v>
      </c>
      <c r="G252" s="608" t="s">
        <v>1354</v>
      </c>
      <c r="H252" s="609">
        <v>-3039368086</v>
      </c>
      <c r="I252" s="609">
        <v>-3039368086</v>
      </c>
    </row>
    <row r="253" spans="1:9">
      <c r="A253" s="541" t="s">
        <v>1365</v>
      </c>
      <c r="B253" s="541" t="s">
        <v>1366</v>
      </c>
      <c r="C253" s="574">
        <v>605059419</v>
      </c>
      <c r="D253" s="574">
        <v>605059419</v>
      </c>
      <c r="E253" s="543"/>
      <c r="F253" s="608" t="s">
        <v>1311</v>
      </c>
      <c r="G253" s="608" t="s">
        <v>487</v>
      </c>
      <c r="H253" s="610">
        <v>-16302601841</v>
      </c>
      <c r="I253" s="610">
        <v>-16302601841</v>
      </c>
    </row>
    <row r="254" spans="1:9">
      <c r="A254" s="541" t="s">
        <v>1367</v>
      </c>
      <c r="B254" s="541" t="s">
        <v>1368</v>
      </c>
      <c r="C254" s="574">
        <v>-142857140</v>
      </c>
      <c r="D254" s="574">
        <v>-142857140</v>
      </c>
      <c r="E254" s="543"/>
      <c r="F254" s="608" t="s">
        <v>1309</v>
      </c>
      <c r="G254" s="608" t="s">
        <v>1310</v>
      </c>
      <c r="H254" s="609">
        <v>-16302601841</v>
      </c>
      <c r="I254" s="609">
        <v>-16302601841</v>
      </c>
    </row>
    <row r="255" spans="1:9">
      <c r="A255" s="541" t="s">
        <v>1355</v>
      </c>
      <c r="B255" s="541"/>
      <c r="C255" s="574">
        <v>-3039368086</v>
      </c>
      <c r="D255" s="574">
        <v>-3039368086</v>
      </c>
      <c r="E255" s="543"/>
      <c r="F255" s="608" t="s">
        <v>1374</v>
      </c>
      <c r="G255" s="608" t="s">
        <v>1375</v>
      </c>
      <c r="H255" s="609"/>
      <c r="I255" s="609"/>
    </row>
    <row r="256" spans="1:9">
      <c r="A256" s="541" t="s">
        <v>1353</v>
      </c>
      <c r="B256" s="541" t="s">
        <v>1354</v>
      </c>
      <c r="C256" s="574">
        <v>-3039368086</v>
      </c>
      <c r="D256" s="574">
        <v>-3039368086</v>
      </c>
      <c r="E256" s="543"/>
      <c r="F256" s="608" t="s">
        <v>1376</v>
      </c>
      <c r="G256" s="608" t="s">
        <v>1375</v>
      </c>
      <c r="H256" s="609"/>
      <c r="I256" s="609"/>
    </row>
    <row r="257" spans="1:9">
      <c r="A257" s="541" t="s">
        <v>1311</v>
      </c>
      <c r="B257" s="541" t="s">
        <v>487</v>
      </c>
      <c r="C257" s="574">
        <v>-16302601841</v>
      </c>
      <c r="D257" s="574">
        <v>-16302601841</v>
      </c>
      <c r="E257" s="543"/>
      <c r="F257" s="608" t="s">
        <v>1377</v>
      </c>
      <c r="G257" s="608" t="s">
        <v>1378</v>
      </c>
      <c r="H257" s="609"/>
      <c r="I257" s="609"/>
    </row>
    <row r="258" spans="1:9">
      <c r="A258" s="541" t="s">
        <v>1309</v>
      </c>
      <c r="B258" s="541" t="s">
        <v>1310</v>
      </c>
      <c r="C258" s="574">
        <v>-16302601841</v>
      </c>
      <c r="D258" s="574">
        <v>-16302601841</v>
      </c>
      <c r="E258" s="543"/>
      <c r="F258" s="608" t="s">
        <v>1379</v>
      </c>
      <c r="G258" s="608" t="s">
        <v>1380</v>
      </c>
      <c r="H258" s="609"/>
      <c r="I258" s="609"/>
    </row>
    <row r="259" spans="1:9">
      <c r="A259" s="541" t="s">
        <v>1374</v>
      </c>
      <c r="B259" s="541" t="s">
        <v>1375</v>
      </c>
      <c r="E259" s="543"/>
      <c r="F259" s="608" t="s">
        <v>1381</v>
      </c>
      <c r="G259" s="608" t="s">
        <v>1382</v>
      </c>
      <c r="H259" s="609">
        <v>-15000000000</v>
      </c>
      <c r="I259" s="609">
        <v>-15000000000</v>
      </c>
    </row>
    <row r="260" spans="1:9">
      <c r="A260" s="541" t="s">
        <v>1376</v>
      </c>
      <c r="B260" s="541" t="s">
        <v>1375</v>
      </c>
      <c r="E260" s="543"/>
      <c r="F260" s="608" t="s">
        <v>1379</v>
      </c>
      <c r="G260" s="608" t="s">
        <v>1380</v>
      </c>
      <c r="H260" s="609">
        <v>-15000000000</v>
      </c>
      <c r="I260" s="609">
        <v>-15000000000</v>
      </c>
    </row>
    <row r="261" spans="1:9">
      <c r="A261" s="541" t="s">
        <v>1377</v>
      </c>
      <c r="B261" s="541" t="s">
        <v>1378</v>
      </c>
      <c r="E261" s="543"/>
      <c r="F261" s="608" t="s">
        <v>1383</v>
      </c>
      <c r="G261" s="608" t="s">
        <v>1384</v>
      </c>
      <c r="H261" s="609"/>
      <c r="I261" s="609"/>
    </row>
    <row r="262" spans="1:9">
      <c r="A262" s="541" t="s">
        <v>1379</v>
      </c>
      <c r="B262" s="541" t="s">
        <v>1380</v>
      </c>
      <c r="E262" s="543"/>
      <c r="F262" s="608" t="s">
        <v>1385</v>
      </c>
      <c r="G262" s="608" t="s">
        <v>1386</v>
      </c>
      <c r="H262" s="609">
        <v>-1171598793</v>
      </c>
      <c r="I262" s="609">
        <v>-1171598793</v>
      </c>
    </row>
    <row r="263" spans="1:9">
      <c r="A263" s="541" t="s">
        <v>1381</v>
      </c>
      <c r="B263" s="541" t="s">
        <v>1382</v>
      </c>
      <c r="C263" s="574">
        <v>-15000000000</v>
      </c>
      <c r="D263" s="574">
        <v>-15000000000</v>
      </c>
      <c r="E263" s="543"/>
      <c r="F263" s="608" t="s">
        <v>1387</v>
      </c>
      <c r="G263" s="608" t="s">
        <v>1388</v>
      </c>
      <c r="H263" s="609">
        <v>-1815870408</v>
      </c>
      <c r="I263" s="609">
        <v>-1815870408</v>
      </c>
    </row>
    <row r="264" spans="1:9">
      <c r="A264" s="541" t="s">
        <v>1379</v>
      </c>
      <c r="B264" s="541" t="s">
        <v>1380</v>
      </c>
      <c r="C264" s="574">
        <v>-15000000000</v>
      </c>
      <c r="D264" s="574">
        <v>-15000000000</v>
      </c>
      <c r="E264" s="543"/>
      <c r="F264" s="608" t="s">
        <v>1844</v>
      </c>
      <c r="G264" s="608" t="s">
        <v>1845</v>
      </c>
      <c r="H264" s="609">
        <v>-1252221963</v>
      </c>
      <c r="I264" s="609">
        <v>-1252221963</v>
      </c>
    </row>
    <row r="265" spans="1:9">
      <c r="A265" s="541" t="s">
        <v>1383</v>
      </c>
      <c r="B265" s="541" t="s">
        <v>1384</v>
      </c>
      <c r="E265" s="543"/>
      <c r="F265" s="608" t="s">
        <v>1846</v>
      </c>
      <c r="G265" s="608" t="s">
        <v>999</v>
      </c>
      <c r="H265" s="609">
        <v>-534475314</v>
      </c>
      <c r="I265" s="609">
        <v>-534475314</v>
      </c>
    </row>
    <row r="266" spans="1:9">
      <c r="A266" s="541" t="s">
        <v>1385</v>
      </c>
      <c r="B266" s="541" t="s">
        <v>1386</v>
      </c>
      <c r="C266" s="574">
        <v>-1171598793</v>
      </c>
      <c r="D266" s="574">
        <v>-1171598793</v>
      </c>
      <c r="E266" s="543"/>
      <c r="F266" s="608" t="s">
        <v>1383</v>
      </c>
      <c r="G266" s="608" t="s">
        <v>1384</v>
      </c>
      <c r="H266" s="609">
        <v>-4774166478</v>
      </c>
      <c r="I266" s="609">
        <v>-4774166478</v>
      </c>
    </row>
    <row r="267" spans="1:9">
      <c r="A267" s="541" t="s">
        <v>1387</v>
      </c>
      <c r="B267" s="541" t="s">
        <v>1388</v>
      </c>
      <c r="C267" s="574">
        <v>-1815870408</v>
      </c>
      <c r="D267" s="574">
        <v>-1815870408</v>
      </c>
      <c r="E267" s="543"/>
      <c r="F267" s="608"/>
      <c r="G267" s="608"/>
      <c r="H267" s="609"/>
      <c r="I267" s="609"/>
    </row>
    <row r="268" spans="1:9">
      <c r="A268" s="541" t="s">
        <v>1844</v>
      </c>
      <c r="B268" s="541" t="s">
        <v>1845</v>
      </c>
      <c r="C268" s="574">
        <v>-1252221963</v>
      </c>
      <c r="D268" s="574">
        <v>-1252221963</v>
      </c>
      <c r="E268" s="543"/>
      <c r="F268" s="608"/>
      <c r="G268" s="608"/>
      <c r="H268" s="609"/>
      <c r="I268" s="609"/>
    </row>
    <row r="269" spans="1:9">
      <c r="A269" s="541" t="s">
        <v>1846</v>
      </c>
      <c r="B269" s="541" t="s">
        <v>999</v>
      </c>
      <c r="C269" s="574">
        <v>-534475314</v>
      </c>
      <c r="D269" s="574">
        <v>-534475314</v>
      </c>
      <c r="E269" s="543"/>
      <c r="F269" s="608"/>
      <c r="G269" s="608"/>
      <c r="H269" s="609"/>
      <c r="I269" s="609"/>
    </row>
    <row r="270" spans="1:9">
      <c r="A270" s="541" t="s">
        <v>1383</v>
      </c>
      <c r="B270" s="541" t="s">
        <v>1384</v>
      </c>
      <c r="C270" s="574">
        <v>-4774166478</v>
      </c>
      <c r="D270" s="574">
        <v>-4774166478</v>
      </c>
      <c r="E270" s="543"/>
      <c r="F270" s="608"/>
      <c r="G270" s="608"/>
      <c r="H270" s="609"/>
      <c r="I270" s="609"/>
    </row>
    <row r="271" spans="1:9">
      <c r="A271" s="541" t="s">
        <v>1389</v>
      </c>
      <c r="B271" s="541" t="s">
        <v>1390</v>
      </c>
      <c r="E271" s="543"/>
      <c r="F271" s="608" t="s">
        <v>1389</v>
      </c>
      <c r="G271" s="608" t="s">
        <v>1390</v>
      </c>
      <c r="H271" s="609"/>
      <c r="I271" s="609"/>
    </row>
    <row r="272" spans="1:9">
      <c r="A272" s="541" t="s">
        <v>1391</v>
      </c>
      <c r="B272" s="541" t="s">
        <v>1392</v>
      </c>
      <c r="C272" s="574">
        <v>-3399183516</v>
      </c>
      <c r="D272" s="574">
        <v>-3399183516</v>
      </c>
      <c r="E272" s="543"/>
      <c r="F272" s="608" t="s">
        <v>1391</v>
      </c>
      <c r="G272" s="608" t="s">
        <v>1392</v>
      </c>
      <c r="H272" s="610">
        <v>-3399183516</v>
      </c>
      <c r="I272" s="610">
        <v>-3399183516</v>
      </c>
    </row>
    <row r="273" spans="1:10">
      <c r="A273" s="541" t="s">
        <v>1393</v>
      </c>
      <c r="B273" s="541" t="s">
        <v>1000</v>
      </c>
      <c r="C273" s="574">
        <v>-2502927045</v>
      </c>
      <c r="D273" s="574">
        <v>-2502927045</v>
      </c>
      <c r="E273" s="543"/>
      <c r="F273" s="608" t="s">
        <v>1393</v>
      </c>
      <c r="G273" s="608" t="s">
        <v>1000</v>
      </c>
      <c r="H273" s="610">
        <v>-2502927045</v>
      </c>
      <c r="I273" s="610">
        <v>-2502927045</v>
      </c>
    </row>
    <row r="274" spans="1:10">
      <c r="A274" s="541" t="s">
        <v>1389</v>
      </c>
      <c r="B274" s="541" t="s">
        <v>1390</v>
      </c>
      <c r="C274" s="574">
        <v>-5902110561</v>
      </c>
      <c r="D274" s="574">
        <v>-5902110561</v>
      </c>
      <c r="E274" s="543"/>
      <c r="F274" s="608" t="s">
        <v>1389</v>
      </c>
      <c r="G274" s="608" t="s">
        <v>1390</v>
      </c>
      <c r="H274" s="609">
        <v>-5902110561</v>
      </c>
      <c r="I274" s="609">
        <v>-5902110561</v>
      </c>
    </row>
    <row r="275" spans="1:10">
      <c r="A275" s="541" t="s">
        <v>1377</v>
      </c>
      <c r="B275" s="541" t="s">
        <v>1378</v>
      </c>
      <c r="C275" s="574">
        <v>-25676277039</v>
      </c>
      <c r="D275" s="574">
        <v>-25676277039</v>
      </c>
      <c r="E275" s="543"/>
      <c r="F275" s="608" t="s">
        <v>1377</v>
      </c>
      <c r="G275" s="608" t="s">
        <v>1378</v>
      </c>
      <c r="H275" s="609">
        <v>-25676277039</v>
      </c>
      <c r="I275" s="609">
        <v>-25676277039</v>
      </c>
    </row>
    <row r="276" spans="1:10">
      <c r="A276" s="541" t="s">
        <v>1376</v>
      </c>
      <c r="B276" s="541" t="s">
        <v>1375</v>
      </c>
      <c r="C276" s="574">
        <v>-25676277039</v>
      </c>
      <c r="D276" s="574">
        <v>-25676277039</v>
      </c>
      <c r="E276" s="543"/>
      <c r="F276" s="608" t="s">
        <v>1376</v>
      </c>
      <c r="G276" s="608" t="s">
        <v>1375</v>
      </c>
      <c r="H276" s="609">
        <v>-25676277039</v>
      </c>
      <c r="I276" s="609">
        <v>-25676277039</v>
      </c>
    </row>
    <row r="277" spans="1:10">
      <c r="A277" s="541" t="s">
        <v>1374</v>
      </c>
      <c r="B277" s="541" t="s">
        <v>1375</v>
      </c>
      <c r="C277" s="574">
        <v>-25676277039</v>
      </c>
      <c r="D277" s="574">
        <v>-25676277039</v>
      </c>
      <c r="E277" s="543"/>
      <c r="F277" s="608" t="s">
        <v>1374</v>
      </c>
      <c r="G277" s="608" t="s">
        <v>1375</v>
      </c>
      <c r="H277" s="609">
        <v>-25676277039</v>
      </c>
      <c r="I277" s="609">
        <v>-25676277039</v>
      </c>
    </row>
    <row r="278" spans="1:10">
      <c r="A278" s="541" t="s">
        <v>1394</v>
      </c>
      <c r="B278" s="541" t="s">
        <v>1395</v>
      </c>
      <c r="C278" s="574">
        <v>465981099</v>
      </c>
      <c r="D278" s="574">
        <v>465981099</v>
      </c>
      <c r="E278" s="543"/>
      <c r="F278" s="608" t="s">
        <v>1394</v>
      </c>
      <c r="G278" s="608" t="s">
        <v>1395</v>
      </c>
      <c r="H278" s="609">
        <v>465981099</v>
      </c>
      <c r="I278" s="609">
        <v>465981099</v>
      </c>
    </row>
    <row r="279" spans="1:10">
      <c r="A279" s="541" t="s">
        <v>1396</v>
      </c>
      <c r="B279" s="541" t="s">
        <v>1397</v>
      </c>
      <c r="E279" s="543"/>
      <c r="F279" s="608" t="s">
        <v>1396</v>
      </c>
      <c r="G279" s="608" t="s">
        <v>1397</v>
      </c>
      <c r="H279" s="609"/>
      <c r="I279" s="609"/>
    </row>
    <row r="280" spans="1:10">
      <c r="A280" s="541">
        <v>41</v>
      </c>
      <c r="B280" s="541" t="s">
        <v>1399</v>
      </c>
      <c r="C280" s="574"/>
      <c r="D280" s="574"/>
      <c r="E280" s="543"/>
      <c r="F280" s="608" t="s">
        <v>1398</v>
      </c>
      <c r="G280" s="608" t="s">
        <v>1399</v>
      </c>
      <c r="H280" s="609"/>
      <c r="I280" s="609"/>
    </row>
    <row r="281" spans="1:10">
      <c r="A281" s="541">
        <v>4101</v>
      </c>
      <c r="B281" s="541" t="s">
        <v>1401</v>
      </c>
      <c r="C281" s="615"/>
      <c r="D281" s="615"/>
      <c r="E281" s="543"/>
      <c r="F281" s="608" t="s">
        <v>1400</v>
      </c>
      <c r="G281" s="608" t="s">
        <v>1401</v>
      </c>
      <c r="H281" s="609"/>
      <c r="I281" s="609"/>
      <c r="J281" s="407"/>
    </row>
    <row r="282" spans="1:10">
      <c r="A282" s="541">
        <v>410101</v>
      </c>
      <c r="B282" s="541" t="s">
        <v>1403</v>
      </c>
      <c r="C282" s="615"/>
      <c r="D282" s="615"/>
      <c r="E282" s="543"/>
      <c r="F282" s="608" t="s">
        <v>1402</v>
      </c>
      <c r="G282" s="608" t="s">
        <v>1403</v>
      </c>
      <c r="H282" s="609"/>
      <c r="I282" s="609"/>
      <c r="J282" s="407"/>
    </row>
    <row r="283" spans="1:10">
      <c r="A283" s="541" t="s">
        <v>1404</v>
      </c>
      <c r="B283" s="541" t="s">
        <v>1405</v>
      </c>
      <c r="C283" s="609">
        <v>-2529291623</v>
      </c>
      <c r="D283" s="609">
        <v>-2529291623</v>
      </c>
      <c r="E283" s="543"/>
      <c r="F283" s="608" t="s">
        <v>1404</v>
      </c>
      <c r="G283" s="608" t="s">
        <v>1405</v>
      </c>
      <c r="H283" s="609">
        <v>-2529291623</v>
      </c>
      <c r="I283" s="609">
        <v>-2529291623</v>
      </c>
      <c r="J283" s="407"/>
    </row>
    <row r="284" spans="1:10">
      <c r="A284" s="541" t="s">
        <v>1406</v>
      </c>
      <c r="B284" s="541" t="s">
        <v>1407</v>
      </c>
      <c r="C284" s="609">
        <v>-33439338</v>
      </c>
      <c r="D284" s="609">
        <v>-33439338</v>
      </c>
      <c r="E284" s="543"/>
      <c r="F284" s="608" t="s">
        <v>1406</v>
      </c>
      <c r="G284" s="608" t="s">
        <v>1407</v>
      </c>
      <c r="H284" s="609">
        <v>-33439338</v>
      </c>
      <c r="I284" s="609">
        <v>-33439338</v>
      </c>
      <c r="J284" s="407"/>
    </row>
    <row r="285" spans="1:10">
      <c r="A285" s="541" t="s">
        <v>1408</v>
      </c>
      <c r="B285" s="541" t="s">
        <v>1409</v>
      </c>
      <c r="C285" s="609">
        <v>-1369305406</v>
      </c>
      <c r="D285" s="609">
        <v>-1369305406</v>
      </c>
      <c r="E285" s="543"/>
      <c r="F285" s="608" t="s">
        <v>1408</v>
      </c>
      <c r="G285" s="608" t="s">
        <v>1409</v>
      </c>
      <c r="H285" s="609">
        <v>-1369305406</v>
      </c>
      <c r="I285" s="609">
        <v>-1369305406</v>
      </c>
      <c r="J285" s="407"/>
    </row>
    <row r="286" spans="1:10">
      <c r="A286" s="541" t="s">
        <v>1410</v>
      </c>
      <c r="B286" s="541" t="s">
        <v>1411</v>
      </c>
      <c r="C286" s="609">
        <v>-3129000</v>
      </c>
      <c r="D286" s="609">
        <v>-3129000</v>
      </c>
      <c r="E286" s="543"/>
      <c r="F286" s="608" t="s">
        <v>1410</v>
      </c>
      <c r="G286" s="608" t="s">
        <v>1411</v>
      </c>
      <c r="H286" s="609">
        <v>-3129000</v>
      </c>
      <c r="I286" s="609">
        <v>-3129000</v>
      </c>
      <c r="J286" s="407"/>
    </row>
    <row r="287" spans="1:10">
      <c r="A287" s="541" t="s">
        <v>1402</v>
      </c>
      <c r="B287" s="541" t="s">
        <v>1403</v>
      </c>
      <c r="C287" s="621">
        <v>-3935165367</v>
      </c>
      <c r="D287" s="610">
        <v>-3935165367</v>
      </c>
      <c r="E287" s="543"/>
      <c r="F287" s="608" t="s">
        <v>1402</v>
      </c>
      <c r="G287" s="608" t="s">
        <v>1403</v>
      </c>
      <c r="H287" s="609">
        <v>-3935165367</v>
      </c>
      <c r="I287" s="609">
        <v>-3935165367</v>
      </c>
      <c r="J287" s="407"/>
    </row>
    <row r="288" spans="1:10">
      <c r="A288" s="541">
        <v>410102</v>
      </c>
      <c r="B288" s="541" t="s">
        <v>1413</v>
      </c>
      <c r="C288" s="609"/>
      <c r="D288" s="609"/>
      <c r="E288" s="543"/>
      <c r="F288" s="608" t="s">
        <v>1412</v>
      </c>
      <c r="G288" s="608" t="s">
        <v>1413</v>
      </c>
      <c r="H288" s="610"/>
      <c r="I288" s="610"/>
      <c r="J288" s="407"/>
    </row>
    <row r="289" spans="1:10">
      <c r="A289" s="541">
        <v>410102001</v>
      </c>
      <c r="B289" s="541" t="s">
        <v>1415</v>
      </c>
      <c r="C289" s="609">
        <f>1832900400+E289</f>
        <v>1121889084</v>
      </c>
      <c r="D289" s="609">
        <v>1832900400</v>
      </c>
      <c r="E289" s="543">
        <v>-711011316</v>
      </c>
      <c r="F289" s="608" t="s">
        <v>1414</v>
      </c>
      <c r="G289" s="608" t="s">
        <v>1415</v>
      </c>
      <c r="H289" s="610">
        <v>1832900400</v>
      </c>
      <c r="I289" s="610">
        <v>1832900400</v>
      </c>
      <c r="J289" s="407"/>
    </row>
    <row r="290" spans="1:10">
      <c r="A290" s="541">
        <v>410102002</v>
      </c>
      <c r="B290" s="541" t="s">
        <v>1417</v>
      </c>
      <c r="C290" s="609">
        <v>19273826</v>
      </c>
      <c r="D290" s="609">
        <v>19273826</v>
      </c>
      <c r="E290" s="543"/>
      <c r="F290" s="608" t="s">
        <v>1416</v>
      </c>
      <c r="G290" s="608" t="s">
        <v>1417</v>
      </c>
      <c r="H290" s="610">
        <v>19273826</v>
      </c>
      <c r="I290" s="610">
        <v>19273826</v>
      </c>
      <c r="J290" s="407"/>
    </row>
    <row r="291" spans="1:10">
      <c r="A291" s="541">
        <v>410102003</v>
      </c>
      <c r="B291" s="541" t="s">
        <v>1419</v>
      </c>
      <c r="C291" s="609">
        <v>559081520</v>
      </c>
      <c r="D291" s="609">
        <v>559081520</v>
      </c>
      <c r="E291" s="543"/>
      <c r="F291" s="608" t="s">
        <v>1418</v>
      </c>
      <c r="G291" s="608" t="s">
        <v>1419</v>
      </c>
      <c r="H291" s="610">
        <v>559081520</v>
      </c>
      <c r="I291" s="610">
        <v>559081520</v>
      </c>
      <c r="J291" s="407"/>
    </row>
    <row r="292" spans="1:10">
      <c r="A292" s="541">
        <v>410102004</v>
      </c>
      <c r="B292" s="541" t="s">
        <v>1421</v>
      </c>
      <c r="C292" s="609">
        <v>1880000</v>
      </c>
      <c r="D292" s="609">
        <v>1880000</v>
      </c>
      <c r="E292" s="543"/>
      <c r="F292" s="608" t="s">
        <v>1420</v>
      </c>
      <c r="G292" s="608" t="s">
        <v>1421</v>
      </c>
      <c r="H292" s="609">
        <v>1880000</v>
      </c>
      <c r="I292" s="609">
        <v>1880000</v>
      </c>
      <c r="J292" s="407"/>
    </row>
    <row r="293" spans="1:10">
      <c r="A293" s="541">
        <v>410102</v>
      </c>
      <c r="B293" s="541" t="s">
        <v>1413</v>
      </c>
      <c r="C293" s="624">
        <v>2413135746</v>
      </c>
      <c r="D293" s="609">
        <v>2413135746</v>
      </c>
      <c r="E293" s="543"/>
      <c r="F293" s="608" t="s">
        <v>1412</v>
      </c>
      <c r="G293" s="608" t="s">
        <v>1413</v>
      </c>
      <c r="H293" s="609">
        <v>2413135746</v>
      </c>
      <c r="I293" s="609">
        <v>2413135746</v>
      </c>
      <c r="J293" s="407"/>
    </row>
    <row r="294" spans="1:10">
      <c r="A294" s="541">
        <v>4101</v>
      </c>
      <c r="B294" s="541" t="s">
        <v>1401</v>
      </c>
      <c r="C294" s="609">
        <v>-1522029621</v>
      </c>
      <c r="D294" s="609">
        <v>-1522029621</v>
      </c>
      <c r="E294" s="543"/>
      <c r="F294" s="608" t="s">
        <v>1400</v>
      </c>
      <c r="G294" s="608" t="s">
        <v>1401</v>
      </c>
      <c r="H294" s="610">
        <v>-1522029621</v>
      </c>
      <c r="I294" s="610">
        <v>-1522029621</v>
      </c>
      <c r="J294" s="407"/>
    </row>
    <row r="295" spans="1:10">
      <c r="A295" s="541">
        <v>4102</v>
      </c>
      <c r="B295" s="541" t="s">
        <v>1423</v>
      </c>
      <c r="C295" s="615"/>
      <c r="D295" s="615"/>
      <c r="E295" s="543"/>
      <c r="F295" s="608" t="s">
        <v>1422</v>
      </c>
      <c r="G295" s="608" t="s">
        <v>1423</v>
      </c>
      <c r="H295" s="609"/>
      <c r="I295" s="609"/>
      <c r="J295" s="407"/>
    </row>
    <row r="296" spans="1:10">
      <c r="A296" s="541">
        <v>410201</v>
      </c>
      <c r="B296" s="541" t="s">
        <v>1425</v>
      </c>
      <c r="C296" s="616"/>
      <c r="D296" s="616"/>
      <c r="E296" s="543"/>
      <c r="F296" s="608" t="s">
        <v>1424</v>
      </c>
      <c r="G296" s="608" t="s">
        <v>1425</v>
      </c>
      <c r="H296" s="609"/>
      <c r="I296" s="609"/>
      <c r="J296" s="407"/>
    </row>
    <row r="297" spans="1:10">
      <c r="A297" s="541">
        <v>410201001</v>
      </c>
      <c r="B297" s="541" t="s">
        <v>1427</v>
      </c>
      <c r="C297" s="610">
        <v>-87031953</v>
      </c>
      <c r="D297" s="610">
        <v>-87031953</v>
      </c>
      <c r="E297" s="543"/>
      <c r="F297" s="608" t="s">
        <v>1426</v>
      </c>
      <c r="G297" s="608" t="s">
        <v>1427</v>
      </c>
      <c r="H297" s="609">
        <v>-87031953</v>
      </c>
      <c r="I297" s="609">
        <v>-87031953</v>
      </c>
      <c r="J297" s="407"/>
    </row>
    <row r="298" spans="1:10">
      <c r="A298" s="541">
        <v>410201002</v>
      </c>
      <c r="B298" s="541" t="s">
        <v>1429</v>
      </c>
      <c r="C298" s="610">
        <v>-6360648</v>
      </c>
      <c r="D298" s="610">
        <v>-6360648</v>
      </c>
      <c r="E298" s="543"/>
      <c r="F298" s="608" t="s">
        <v>1428</v>
      </c>
      <c r="G298" s="608" t="s">
        <v>1429</v>
      </c>
      <c r="H298" s="609">
        <v>-6360648</v>
      </c>
      <c r="I298" s="609">
        <v>-6360648</v>
      </c>
      <c r="J298" s="407"/>
    </row>
    <row r="299" spans="1:10">
      <c r="A299" s="541">
        <v>410201003</v>
      </c>
      <c r="B299" s="541" t="s">
        <v>1431</v>
      </c>
      <c r="C299" s="609">
        <v>-1061703635</v>
      </c>
      <c r="D299" s="609">
        <v>-1061703635</v>
      </c>
      <c r="E299" s="543"/>
      <c r="F299" s="608" t="s">
        <v>1430</v>
      </c>
      <c r="G299" s="608" t="s">
        <v>1431</v>
      </c>
      <c r="H299" s="609">
        <v>-1061703635</v>
      </c>
      <c r="I299" s="609">
        <v>-1061703635</v>
      </c>
      <c r="J299" s="407"/>
    </row>
    <row r="300" spans="1:10">
      <c r="A300" s="541">
        <v>410201</v>
      </c>
      <c r="B300" s="541" t="s">
        <v>1425</v>
      </c>
      <c r="C300" s="622">
        <v>-1155096236</v>
      </c>
      <c r="D300" s="609">
        <v>-1155096236</v>
      </c>
      <c r="E300" s="543"/>
      <c r="F300" s="608" t="s">
        <v>1424</v>
      </c>
      <c r="G300" s="608" t="s">
        <v>1425</v>
      </c>
      <c r="H300" s="610">
        <v>-1155096236</v>
      </c>
      <c r="I300" s="610">
        <v>-1155096236</v>
      </c>
      <c r="J300" s="407"/>
    </row>
    <row r="301" spans="1:10">
      <c r="A301" s="541">
        <v>410202</v>
      </c>
      <c r="B301" s="541" t="s">
        <v>1433</v>
      </c>
      <c r="C301" s="609"/>
      <c r="D301" s="609"/>
      <c r="E301" s="543"/>
      <c r="F301" s="608" t="s">
        <v>1432</v>
      </c>
      <c r="G301" s="608" t="s">
        <v>1433</v>
      </c>
      <c r="H301" s="609"/>
      <c r="I301" s="609"/>
      <c r="J301" s="407"/>
    </row>
    <row r="302" spans="1:10">
      <c r="A302" s="541">
        <v>410202001</v>
      </c>
      <c r="B302" s="541" t="s">
        <v>1435</v>
      </c>
      <c r="C302" s="609">
        <v>62976682</v>
      </c>
      <c r="D302" s="609">
        <v>62976682</v>
      </c>
      <c r="E302" s="543"/>
      <c r="F302" s="608" t="s">
        <v>1434</v>
      </c>
      <c r="G302" s="608" t="s">
        <v>1435</v>
      </c>
      <c r="H302" s="609">
        <v>62976682</v>
      </c>
      <c r="I302" s="609">
        <v>62976682</v>
      </c>
      <c r="J302" s="407"/>
    </row>
    <row r="303" spans="1:10">
      <c r="A303" s="541">
        <v>410202002</v>
      </c>
      <c r="B303" s="541" t="s">
        <v>1437</v>
      </c>
      <c r="C303" s="609">
        <v>1939913</v>
      </c>
      <c r="D303" s="609">
        <v>1939913</v>
      </c>
      <c r="E303" s="543"/>
      <c r="F303" s="608" t="s">
        <v>1436</v>
      </c>
      <c r="G303" s="608" t="s">
        <v>1437</v>
      </c>
      <c r="H303" s="609">
        <v>1939913</v>
      </c>
      <c r="I303" s="609">
        <v>1939913</v>
      </c>
      <c r="J303" s="407"/>
    </row>
    <row r="304" spans="1:10">
      <c r="A304" s="541">
        <v>410202003</v>
      </c>
      <c r="B304" s="541" t="s">
        <v>1439</v>
      </c>
      <c r="C304" s="610">
        <v>558172839</v>
      </c>
      <c r="D304" s="610">
        <v>558172839</v>
      </c>
      <c r="E304" s="543"/>
      <c r="F304" s="608" t="s">
        <v>1438</v>
      </c>
      <c r="G304" s="608" t="s">
        <v>1439</v>
      </c>
      <c r="H304" s="609">
        <v>558172839</v>
      </c>
      <c r="I304" s="609">
        <v>558172839</v>
      </c>
      <c r="J304" s="407"/>
    </row>
    <row r="305" spans="1:10">
      <c r="A305" s="541">
        <v>410202</v>
      </c>
      <c r="B305" s="541" t="s">
        <v>1433</v>
      </c>
      <c r="C305" s="624">
        <v>623089434</v>
      </c>
      <c r="D305" s="609">
        <v>623089434</v>
      </c>
      <c r="E305" s="543"/>
      <c r="F305" s="608" t="s">
        <v>1432</v>
      </c>
      <c r="G305" s="608" t="s">
        <v>1433</v>
      </c>
      <c r="H305" s="609">
        <v>623089434</v>
      </c>
      <c r="I305" s="609">
        <v>623089434</v>
      </c>
      <c r="J305" s="407"/>
    </row>
    <row r="306" spans="1:10">
      <c r="A306" s="541">
        <v>4102</v>
      </c>
      <c r="B306" s="541" t="s">
        <v>1423</v>
      </c>
      <c r="C306" s="609">
        <v>-532006802</v>
      </c>
      <c r="D306" s="609">
        <v>-532006802</v>
      </c>
      <c r="E306" s="543"/>
      <c r="F306" s="608" t="s">
        <v>1422</v>
      </c>
      <c r="G306" s="608" t="s">
        <v>1423</v>
      </c>
      <c r="H306" s="609">
        <v>-532006802</v>
      </c>
      <c r="I306" s="609">
        <v>-532006802</v>
      </c>
      <c r="J306" s="407"/>
    </row>
    <row r="307" spans="1:10">
      <c r="A307" s="541">
        <v>4103</v>
      </c>
      <c r="B307" s="541" t="s">
        <v>1441</v>
      </c>
      <c r="C307" s="615"/>
      <c r="D307" s="615"/>
      <c r="E307" s="543"/>
      <c r="F307" s="608" t="s">
        <v>1440</v>
      </c>
      <c r="G307" s="608" t="s">
        <v>1441</v>
      </c>
      <c r="H307" s="609"/>
      <c r="I307" s="609"/>
      <c r="J307" s="407"/>
    </row>
    <row r="308" spans="1:10">
      <c r="A308" s="541">
        <v>410301</v>
      </c>
      <c r="B308" s="541" t="s">
        <v>1443</v>
      </c>
      <c r="C308" s="615"/>
      <c r="D308" s="615"/>
      <c r="E308" s="543"/>
      <c r="F308" s="608" t="s">
        <v>1442</v>
      </c>
      <c r="G308" s="608" t="s">
        <v>1443</v>
      </c>
      <c r="H308" s="610"/>
      <c r="I308" s="610"/>
      <c r="J308" s="407"/>
    </row>
    <row r="309" spans="1:10">
      <c r="A309" s="541">
        <v>410301001</v>
      </c>
      <c r="B309" s="541" t="s">
        <v>1904</v>
      </c>
      <c r="C309" s="609">
        <v>-135455</v>
      </c>
      <c r="D309" s="609">
        <v>-135455</v>
      </c>
      <c r="E309" s="543"/>
      <c r="F309" s="608" t="s">
        <v>2016</v>
      </c>
      <c r="G309" s="608" t="s">
        <v>1904</v>
      </c>
      <c r="H309" s="610">
        <v>-135455</v>
      </c>
      <c r="I309" s="610">
        <v>-135455</v>
      </c>
      <c r="J309" s="407"/>
    </row>
    <row r="310" spans="1:10">
      <c r="A310" s="541">
        <v>410301003</v>
      </c>
      <c r="B310" s="541" t="s">
        <v>1445</v>
      </c>
      <c r="C310" s="609">
        <v>-109611688</v>
      </c>
      <c r="D310" s="609">
        <v>-109611688</v>
      </c>
      <c r="E310" s="543"/>
      <c r="F310" s="608" t="s">
        <v>1444</v>
      </c>
      <c r="G310" s="608" t="s">
        <v>1445</v>
      </c>
      <c r="H310" s="610">
        <v>-109611688</v>
      </c>
      <c r="I310" s="610">
        <v>-109611688</v>
      </c>
      <c r="J310" s="407"/>
    </row>
    <row r="311" spans="1:10">
      <c r="A311" s="541">
        <v>410301</v>
      </c>
      <c r="B311" s="541" t="s">
        <v>1443</v>
      </c>
      <c r="C311" s="621">
        <v>-109747143</v>
      </c>
      <c r="D311" s="610">
        <v>-109747143</v>
      </c>
      <c r="E311" s="543"/>
      <c r="F311" s="608" t="s">
        <v>1442</v>
      </c>
      <c r="G311" s="608" t="s">
        <v>1443</v>
      </c>
      <c r="H311" s="610">
        <v>-109747143</v>
      </c>
      <c r="I311" s="610">
        <v>-109747143</v>
      </c>
      <c r="J311" s="407"/>
    </row>
    <row r="312" spans="1:10">
      <c r="A312" s="541">
        <v>410302</v>
      </c>
      <c r="B312" s="541" t="s">
        <v>1447</v>
      </c>
      <c r="C312" s="610"/>
      <c r="D312" s="610"/>
      <c r="E312" s="543"/>
      <c r="F312" s="608" t="s">
        <v>1446</v>
      </c>
      <c r="G312" s="608" t="s">
        <v>1447</v>
      </c>
      <c r="H312" s="609"/>
      <c r="I312" s="609"/>
      <c r="J312" s="407"/>
    </row>
    <row r="313" spans="1:10">
      <c r="A313" s="541">
        <v>410302001</v>
      </c>
      <c r="B313" s="541" t="s">
        <v>1448</v>
      </c>
      <c r="C313" s="609">
        <v>78570</v>
      </c>
      <c r="D313" s="609">
        <v>78570</v>
      </c>
      <c r="E313" s="543"/>
      <c r="F313" s="608" t="s">
        <v>2525</v>
      </c>
      <c r="G313" s="608" t="s">
        <v>1448</v>
      </c>
      <c r="H313" s="609">
        <v>78570</v>
      </c>
      <c r="I313" s="609">
        <v>78570</v>
      </c>
      <c r="J313" s="407"/>
    </row>
    <row r="314" spans="1:10">
      <c r="A314" s="541">
        <v>410302003</v>
      </c>
      <c r="B314" s="541" t="s">
        <v>1450</v>
      </c>
      <c r="C314" s="609">
        <v>104936802</v>
      </c>
      <c r="D314" s="609">
        <v>104936802</v>
      </c>
      <c r="E314" s="543"/>
      <c r="F314" s="608" t="s">
        <v>1449</v>
      </c>
      <c r="G314" s="608" t="s">
        <v>1450</v>
      </c>
      <c r="H314" s="609">
        <v>104936802</v>
      </c>
      <c r="I314" s="609">
        <v>104936802</v>
      </c>
      <c r="J314" s="407"/>
    </row>
    <row r="315" spans="1:10">
      <c r="A315" s="541">
        <v>410302</v>
      </c>
      <c r="B315" s="541" t="s">
        <v>1447</v>
      </c>
      <c r="C315" s="624">
        <v>105015372</v>
      </c>
      <c r="D315" s="609">
        <v>105015372</v>
      </c>
      <c r="E315" s="543"/>
      <c r="F315" s="608" t="s">
        <v>1446</v>
      </c>
      <c r="G315" s="608" t="s">
        <v>1447</v>
      </c>
      <c r="H315" s="609">
        <v>105015372</v>
      </c>
      <c r="I315" s="609">
        <v>105015372</v>
      </c>
      <c r="J315" s="407"/>
    </row>
    <row r="316" spans="1:10">
      <c r="A316" s="541">
        <v>4103</v>
      </c>
      <c r="B316" s="541" t="s">
        <v>1441</v>
      </c>
      <c r="C316" s="609">
        <v>-4731771</v>
      </c>
      <c r="D316" s="609">
        <v>-4731771</v>
      </c>
      <c r="E316" s="543"/>
      <c r="F316" s="608" t="s">
        <v>1440</v>
      </c>
      <c r="G316" s="608" t="s">
        <v>1441</v>
      </c>
      <c r="H316" s="609">
        <v>-4731771</v>
      </c>
      <c r="I316" s="609">
        <v>-4731771</v>
      </c>
      <c r="J316" s="407"/>
    </row>
    <row r="317" spans="1:10">
      <c r="A317" s="541">
        <v>4104</v>
      </c>
      <c r="B317" s="541" t="s">
        <v>1452</v>
      </c>
      <c r="C317" s="610"/>
      <c r="D317" s="610"/>
      <c r="E317" s="543"/>
      <c r="F317" s="608" t="s">
        <v>1451</v>
      </c>
      <c r="G317" s="608" t="s">
        <v>1452</v>
      </c>
      <c r="H317" s="610"/>
      <c r="I317" s="610"/>
      <c r="J317" s="407"/>
    </row>
    <row r="318" spans="1:10">
      <c r="A318" s="541">
        <v>410401</v>
      </c>
      <c r="B318" s="541" t="s">
        <v>1454</v>
      </c>
      <c r="C318" s="609"/>
      <c r="D318" s="609"/>
      <c r="E318" s="543"/>
      <c r="F318" s="608" t="s">
        <v>1453</v>
      </c>
      <c r="G318" s="608" t="s">
        <v>1454</v>
      </c>
      <c r="H318" s="609"/>
      <c r="I318" s="609"/>
      <c r="J318" s="407"/>
    </row>
    <row r="319" spans="1:10">
      <c r="A319" s="541">
        <v>410401001</v>
      </c>
      <c r="B319" s="541" t="s">
        <v>1456</v>
      </c>
      <c r="C319" s="609">
        <v>-841317459</v>
      </c>
      <c r="D319" s="609">
        <v>-841317459</v>
      </c>
      <c r="E319" s="543"/>
      <c r="F319" s="608" t="s">
        <v>1455</v>
      </c>
      <c r="G319" s="608" t="s">
        <v>1456</v>
      </c>
      <c r="H319" s="609">
        <v>-841317459</v>
      </c>
      <c r="I319" s="609">
        <v>-841317459</v>
      </c>
      <c r="J319" s="407"/>
    </row>
    <row r="320" spans="1:10">
      <c r="A320" s="541">
        <v>410401002</v>
      </c>
      <c r="B320" s="541" t="s">
        <v>1458</v>
      </c>
      <c r="C320" s="609">
        <v>-46988500</v>
      </c>
      <c r="D320" s="609">
        <v>-46988500</v>
      </c>
      <c r="E320" s="543"/>
      <c r="F320" s="608" t="s">
        <v>1457</v>
      </c>
      <c r="G320" s="608" t="s">
        <v>1458</v>
      </c>
      <c r="H320" s="609">
        <v>-46988500</v>
      </c>
      <c r="I320" s="609">
        <v>-46988500</v>
      </c>
      <c r="J320" s="407"/>
    </row>
    <row r="321" spans="1:10">
      <c r="A321" s="541">
        <v>410401003</v>
      </c>
      <c r="B321" s="541" t="s">
        <v>1460</v>
      </c>
      <c r="C321" s="609">
        <v>-140281509</v>
      </c>
      <c r="D321" s="609">
        <v>-140281509</v>
      </c>
      <c r="E321" s="543"/>
      <c r="F321" s="608" t="s">
        <v>1459</v>
      </c>
      <c r="G321" s="608" t="s">
        <v>1460</v>
      </c>
      <c r="H321" s="609">
        <v>-140281509</v>
      </c>
      <c r="I321" s="609">
        <v>-140281509</v>
      </c>
      <c r="J321" s="407"/>
    </row>
    <row r="322" spans="1:10">
      <c r="A322" s="541">
        <v>410401</v>
      </c>
      <c r="B322" s="541" t="s">
        <v>1454</v>
      </c>
      <c r="C322" s="622">
        <v>-1028587468</v>
      </c>
      <c r="D322" s="609">
        <v>-1028587468</v>
      </c>
      <c r="E322" s="543"/>
      <c r="F322" s="608" t="s">
        <v>1453</v>
      </c>
      <c r="G322" s="608" t="s">
        <v>1454</v>
      </c>
      <c r="H322" s="609">
        <v>-1028587468</v>
      </c>
      <c r="I322" s="609">
        <v>-1028587468</v>
      </c>
      <c r="J322" s="407"/>
    </row>
    <row r="323" spans="1:10">
      <c r="A323" s="541">
        <v>410402</v>
      </c>
      <c r="B323" s="541" t="s">
        <v>1462</v>
      </c>
      <c r="C323" s="616"/>
      <c r="D323" s="616"/>
      <c r="E323" s="543"/>
      <c r="F323" s="608" t="s">
        <v>1461</v>
      </c>
      <c r="G323" s="608" t="s">
        <v>1462</v>
      </c>
      <c r="H323" s="609"/>
      <c r="I323" s="609"/>
      <c r="J323" s="407"/>
    </row>
    <row r="324" spans="1:10">
      <c r="A324" s="541">
        <v>410402001</v>
      </c>
      <c r="B324" s="541" t="s">
        <v>1464</v>
      </c>
      <c r="C324" s="610">
        <v>568022132</v>
      </c>
      <c r="D324" s="610">
        <v>568022132</v>
      </c>
      <c r="E324" s="543"/>
      <c r="F324" s="608" t="s">
        <v>1463</v>
      </c>
      <c r="G324" s="608" t="s">
        <v>1464</v>
      </c>
      <c r="H324" s="610">
        <v>568022132</v>
      </c>
      <c r="I324" s="610">
        <v>568022132</v>
      </c>
      <c r="J324" s="407"/>
    </row>
    <row r="325" spans="1:10">
      <c r="A325" s="541">
        <v>410402002</v>
      </c>
      <c r="B325" s="541" t="s">
        <v>1466</v>
      </c>
      <c r="C325" s="609">
        <v>25600428</v>
      </c>
      <c r="D325" s="609">
        <v>25600428</v>
      </c>
      <c r="E325" s="543"/>
      <c r="F325" s="608" t="s">
        <v>1465</v>
      </c>
      <c r="G325" s="608" t="s">
        <v>1466</v>
      </c>
      <c r="H325" s="610">
        <v>25600428</v>
      </c>
      <c r="I325" s="610">
        <v>25600428</v>
      </c>
      <c r="J325" s="407"/>
    </row>
    <row r="326" spans="1:10">
      <c r="A326" s="541">
        <v>410402003</v>
      </c>
      <c r="B326" s="541" t="s">
        <v>1468</v>
      </c>
      <c r="C326" s="609">
        <v>52594227</v>
      </c>
      <c r="D326" s="609">
        <v>52594227</v>
      </c>
      <c r="E326" s="543"/>
      <c r="F326" s="608" t="s">
        <v>1467</v>
      </c>
      <c r="G326" s="608" t="s">
        <v>1468</v>
      </c>
      <c r="H326" s="609">
        <v>52594227</v>
      </c>
      <c r="I326" s="609">
        <v>52594227</v>
      </c>
      <c r="J326" s="407"/>
    </row>
    <row r="327" spans="1:10">
      <c r="A327" s="541">
        <v>410402</v>
      </c>
      <c r="B327" s="541" t="s">
        <v>1462</v>
      </c>
      <c r="C327" s="624">
        <v>646216787</v>
      </c>
      <c r="D327" s="609">
        <v>646216787</v>
      </c>
      <c r="E327" s="543"/>
      <c r="F327" s="608" t="s">
        <v>1461</v>
      </c>
      <c r="G327" s="608" t="s">
        <v>1462</v>
      </c>
      <c r="H327" s="609">
        <v>646216787</v>
      </c>
      <c r="I327" s="609">
        <v>646216787</v>
      </c>
      <c r="J327" s="407"/>
    </row>
    <row r="328" spans="1:10">
      <c r="A328" s="541">
        <v>4104</v>
      </c>
      <c r="B328" s="541" t="s">
        <v>1452</v>
      </c>
      <c r="C328" s="610">
        <v>-382370681</v>
      </c>
      <c r="D328" s="610">
        <v>-382370681</v>
      </c>
      <c r="E328" s="543"/>
      <c r="F328" s="608" t="s">
        <v>1451</v>
      </c>
      <c r="G328" s="608" t="s">
        <v>1452</v>
      </c>
      <c r="H328" s="609">
        <v>-382370681</v>
      </c>
      <c r="I328" s="609">
        <v>-382370681</v>
      </c>
      <c r="J328" s="407"/>
    </row>
    <row r="329" spans="1:10">
      <c r="A329" s="541">
        <v>4105</v>
      </c>
      <c r="B329" s="541" t="s">
        <v>1470</v>
      </c>
      <c r="C329" s="609"/>
      <c r="D329" s="609"/>
      <c r="E329" s="543"/>
      <c r="F329" s="608" t="s">
        <v>1469</v>
      </c>
      <c r="G329" s="608" t="s">
        <v>1470</v>
      </c>
      <c r="H329" s="609"/>
      <c r="I329" s="609"/>
      <c r="J329" s="407"/>
    </row>
    <row r="330" spans="1:10">
      <c r="A330" s="541">
        <v>410501</v>
      </c>
      <c r="B330" s="541" t="s">
        <v>1472</v>
      </c>
      <c r="C330" s="609"/>
      <c r="D330" s="609"/>
      <c r="E330" s="543"/>
      <c r="F330" s="608" t="s">
        <v>1471</v>
      </c>
      <c r="G330" s="608" t="s">
        <v>1472</v>
      </c>
      <c r="H330" s="610"/>
      <c r="I330" s="610"/>
      <c r="J330" s="407"/>
    </row>
    <row r="331" spans="1:10">
      <c r="A331" s="541">
        <v>410501001</v>
      </c>
      <c r="B331" s="541" t="s">
        <v>1474</v>
      </c>
      <c r="C331" s="609">
        <v>-435447094</v>
      </c>
      <c r="D331" s="609">
        <v>-435447094</v>
      </c>
      <c r="E331" s="543"/>
      <c r="F331" s="608" t="s">
        <v>1473</v>
      </c>
      <c r="G331" s="608" t="s">
        <v>1474</v>
      </c>
      <c r="H331" s="609">
        <v>-435447094</v>
      </c>
      <c r="I331" s="609">
        <v>-435447094</v>
      </c>
      <c r="J331" s="407"/>
    </row>
    <row r="332" spans="1:10">
      <c r="A332" s="541">
        <v>410501002</v>
      </c>
      <c r="B332" s="541" t="s">
        <v>1476</v>
      </c>
      <c r="C332" s="609">
        <v>-1451228</v>
      </c>
      <c r="D332" s="609">
        <v>-1451228</v>
      </c>
      <c r="E332" s="543"/>
      <c r="F332" s="608" t="s">
        <v>1475</v>
      </c>
      <c r="G332" s="608" t="s">
        <v>1476</v>
      </c>
      <c r="H332" s="609">
        <v>-1451228</v>
      </c>
      <c r="I332" s="609">
        <v>-1451228</v>
      </c>
      <c r="J332" s="407"/>
    </row>
    <row r="333" spans="1:10">
      <c r="A333" s="541">
        <v>410501003</v>
      </c>
      <c r="B333" s="541" t="s">
        <v>1478</v>
      </c>
      <c r="C333" s="610">
        <v>-112436115</v>
      </c>
      <c r="D333" s="610">
        <v>-112436115</v>
      </c>
      <c r="E333" s="543"/>
      <c r="F333" s="608" t="s">
        <v>1477</v>
      </c>
      <c r="G333" s="608" t="s">
        <v>1478</v>
      </c>
      <c r="H333" s="609">
        <v>-112436115</v>
      </c>
      <c r="I333" s="609">
        <v>-112436115</v>
      </c>
      <c r="J333" s="407"/>
    </row>
    <row r="334" spans="1:10">
      <c r="A334" s="541">
        <v>410501</v>
      </c>
      <c r="B334" s="541" t="s">
        <v>1472</v>
      </c>
      <c r="C334" s="621">
        <v>-549334437</v>
      </c>
      <c r="D334" s="610">
        <v>-549334437</v>
      </c>
      <c r="E334" s="543"/>
      <c r="F334" s="608" t="s">
        <v>1471</v>
      </c>
      <c r="G334" s="608" t="s">
        <v>1472</v>
      </c>
      <c r="H334" s="609">
        <v>-549334437</v>
      </c>
      <c r="I334" s="609">
        <v>-549334437</v>
      </c>
      <c r="J334" s="407"/>
    </row>
    <row r="335" spans="1:10">
      <c r="A335" s="541">
        <v>410502</v>
      </c>
      <c r="B335" s="541" t="s">
        <v>1480</v>
      </c>
      <c r="C335" s="616"/>
      <c r="D335" s="616"/>
      <c r="E335" s="543"/>
      <c r="F335" s="608" t="s">
        <v>1479</v>
      </c>
      <c r="G335" s="608" t="s">
        <v>1480</v>
      </c>
      <c r="H335" s="609"/>
      <c r="I335" s="609"/>
      <c r="J335" s="407"/>
    </row>
    <row r="336" spans="1:10">
      <c r="A336" s="541">
        <v>410502001</v>
      </c>
      <c r="B336" s="541" t="s">
        <v>1482</v>
      </c>
      <c r="C336" s="609">
        <v>290519075</v>
      </c>
      <c r="D336" s="609">
        <v>290519075</v>
      </c>
      <c r="E336" s="543"/>
      <c r="F336" s="608" t="s">
        <v>1481</v>
      </c>
      <c r="G336" s="608" t="s">
        <v>1482</v>
      </c>
      <c r="H336" s="610">
        <v>290519075</v>
      </c>
      <c r="I336" s="610">
        <v>290519075</v>
      </c>
      <c r="J336" s="407"/>
    </row>
    <row r="337" spans="1:10">
      <c r="A337" s="541">
        <v>410502002</v>
      </c>
      <c r="B337" s="541" t="s">
        <v>1484</v>
      </c>
      <c r="C337" s="609">
        <v>922586</v>
      </c>
      <c r="D337" s="609">
        <v>922586</v>
      </c>
      <c r="E337" s="543"/>
      <c r="F337" s="608" t="s">
        <v>1483</v>
      </c>
      <c r="G337" s="608" t="s">
        <v>1484</v>
      </c>
      <c r="H337" s="610">
        <v>922586</v>
      </c>
      <c r="I337" s="610">
        <v>922586</v>
      </c>
      <c r="J337" s="407"/>
    </row>
    <row r="338" spans="1:10">
      <c r="A338" s="541">
        <v>410502003</v>
      </c>
      <c r="B338" s="541" t="s">
        <v>1486</v>
      </c>
      <c r="C338" s="609">
        <v>61910133</v>
      </c>
      <c r="D338" s="609">
        <v>61910133</v>
      </c>
      <c r="E338" s="543"/>
      <c r="F338" s="608" t="s">
        <v>1485</v>
      </c>
      <c r="G338" s="608" t="s">
        <v>1486</v>
      </c>
      <c r="H338" s="609">
        <v>61910133</v>
      </c>
      <c r="I338" s="609">
        <v>61910133</v>
      </c>
      <c r="J338" s="407"/>
    </row>
    <row r="339" spans="1:10">
      <c r="A339" s="541">
        <v>410502</v>
      </c>
      <c r="B339" s="541" t="s">
        <v>1480</v>
      </c>
      <c r="C339" s="625">
        <v>353351794</v>
      </c>
      <c r="D339" s="610">
        <v>353351794</v>
      </c>
      <c r="E339" s="543"/>
      <c r="F339" s="608" t="s">
        <v>1479</v>
      </c>
      <c r="G339" s="608" t="s">
        <v>1480</v>
      </c>
      <c r="H339" s="609">
        <v>353351794</v>
      </c>
      <c r="I339" s="609">
        <v>353351794</v>
      </c>
      <c r="J339" s="407"/>
    </row>
    <row r="340" spans="1:10">
      <c r="A340" s="541">
        <v>4105</v>
      </c>
      <c r="B340" s="541" t="s">
        <v>1470</v>
      </c>
      <c r="C340" s="609">
        <v>-195982643</v>
      </c>
      <c r="D340" s="609">
        <v>-195982643</v>
      </c>
      <c r="E340" s="543"/>
      <c r="F340" s="608" t="s">
        <v>1469</v>
      </c>
      <c r="G340" s="608" t="s">
        <v>1470</v>
      </c>
      <c r="H340" s="609">
        <v>-195982643</v>
      </c>
      <c r="I340" s="609">
        <v>-195982643</v>
      </c>
      <c r="J340" s="407"/>
    </row>
    <row r="341" spans="1:10">
      <c r="A341" s="541">
        <v>4150</v>
      </c>
      <c r="B341" s="541" t="s">
        <v>1488</v>
      </c>
      <c r="C341" s="609"/>
      <c r="D341" s="609"/>
      <c r="E341" s="543"/>
      <c r="F341" s="608" t="s">
        <v>1487</v>
      </c>
      <c r="G341" s="608" t="s">
        <v>1488</v>
      </c>
      <c r="H341" s="610"/>
      <c r="I341" s="610"/>
      <c r="J341" s="407"/>
    </row>
    <row r="342" spans="1:10">
      <c r="A342" s="541">
        <v>415001</v>
      </c>
      <c r="B342" s="541" t="s">
        <v>1490</v>
      </c>
      <c r="C342" s="609"/>
      <c r="D342" s="609"/>
      <c r="E342" s="543"/>
      <c r="F342" s="608" t="s">
        <v>1489</v>
      </c>
      <c r="G342" s="608" t="s">
        <v>1490</v>
      </c>
      <c r="H342" s="609"/>
      <c r="I342" s="609"/>
      <c r="J342" s="407"/>
    </row>
    <row r="343" spans="1:10">
      <c r="A343" s="541">
        <v>415001002</v>
      </c>
      <c r="B343" s="541" t="s">
        <v>1905</v>
      </c>
      <c r="C343" s="609"/>
      <c r="D343" s="609"/>
      <c r="E343" s="543"/>
      <c r="F343" s="608" t="s">
        <v>1491</v>
      </c>
      <c r="G343" s="608" t="s">
        <v>1492</v>
      </c>
      <c r="H343" s="609">
        <v>-1781952</v>
      </c>
      <c r="I343" s="609">
        <v>-1781952</v>
      </c>
      <c r="J343" s="407"/>
    </row>
    <row r="344" spans="1:10">
      <c r="A344" s="541">
        <v>415001003</v>
      </c>
      <c r="B344" s="541" t="s">
        <v>1492</v>
      </c>
      <c r="C344" s="609">
        <v>-1781952</v>
      </c>
      <c r="D344" s="609">
        <v>-1781952</v>
      </c>
      <c r="E344" s="543"/>
      <c r="F344" s="608" t="s">
        <v>1489</v>
      </c>
      <c r="G344" s="608" t="s">
        <v>1490</v>
      </c>
      <c r="H344" s="609">
        <v>-1781952</v>
      </c>
      <c r="I344" s="609">
        <v>-1781952</v>
      </c>
      <c r="J344" s="407"/>
    </row>
    <row r="345" spans="1:10">
      <c r="A345" s="541">
        <v>415001</v>
      </c>
      <c r="B345" s="541" t="s">
        <v>1490</v>
      </c>
      <c r="C345" s="621">
        <v>-1781952</v>
      </c>
      <c r="D345" s="610">
        <v>-1781952</v>
      </c>
      <c r="E345" s="543"/>
      <c r="F345" s="608" t="s">
        <v>1493</v>
      </c>
      <c r="G345" s="608" t="s">
        <v>1494</v>
      </c>
      <c r="H345" s="609"/>
      <c r="I345" s="609"/>
      <c r="J345" s="407"/>
    </row>
    <row r="346" spans="1:10">
      <c r="A346" s="541">
        <v>415002</v>
      </c>
      <c r="B346" s="541" t="s">
        <v>1494</v>
      </c>
      <c r="C346" s="616"/>
      <c r="D346" s="616"/>
      <c r="E346" s="543"/>
      <c r="F346" s="608" t="s">
        <v>1495</v>
      </c>
      <c r="G346" s="608" t="s">
        <v>1496</v>
      </c>
      <c r="H346" s="610">
        <v>1250045</v>
      </c>
      <c r="I346" s="610">
        <v>1250045</v>
      </c>
      <c r="J346" s="407"/>
    </row>
    <row r="347" spans="1:10">
      <c r="A347" s="541">
        <v>415002002</v>
      </c>
      <c r="B347" s="541" t="s">
        <v>1906</v>
      </c>
      <c r="C347" s="609"/>
      <c r="D347" s="609"/>
      <c r="E347" s="543"/>
      <c r="F347" s="608" t="s">
        <v>1493</v>
      </c>
      <c r="G347" s="608" t="s">
        <v>1494</v>
      </c>
      <c r="H347" s="610">
        <v>1250045</v>
      </c>
      <c r="I347" s="610">
        <v>1250045</v>
      </c>
      <c r="J347" s="407"/>
    </row>
    <row r="348" spans="1:10">
      <c r="A348" s="541">
        <v>415002003</v>
      </c>
      <c r="B348" s="541" t="s">
        <v>1496</v>
      </c>
      <c r="C348" s="609">
        <v>1250045</v>
      </c>
      <c r="D348" s="609">
        <v>1250045</v>
      </c>
      <c r="E348" s="543"/>
      <c r="F348" s="608" t="s">
        <v>1487</v>
      </c>
      <c r="G348" s="608" t="s">
        <v>1488</v>
      </c>
      <c r="H348" s="609">
        <v>-531907</v>
      </c>
      <c r="I348" s="609">
        <v>-531907</v>
      </c>
      <c r="J348" s="407"/>
    </row>
    <row r="349" spans="1:10">
      <c r="A349" s="541">
        <v>415002</v>
      </c>
      <c r="B349" s="541" t="s">
        <v>1494</v>
      </c>
      <c r="C349" s="624">
        <v>1250045</v>
      </c>
      <c r="D349" s="609">
        <v>1250045</v>
      </c>
      <c r="E349" s="543"/>
      <c r="F349" s="608" t="s">
        <v>1497</v>
      </c>
      <c r="G349" s="608" t="s">
        <v>1498</v>
      </c>
      <c r="H349" s="609"/>
      <c r="I349" s="609"/>
      <c r="J349" s="407"/>
    </row>
    <row r="350" spans="1:10">
      <c r="A350" s="541">
        <v>4150</v>
      </c>
      <c r="B350" s="541" t="s">
        <v>1488</v>
      </c>
      <c r="C350" s="609">
        <v>-531907</v>
      </c>
      <c r="D350" s="609">
        <v>-531907</v>
      </c>
      <c r="E350" s="543"/>
      <c r="F350" s="608" t="s">
        <v>1499</v>
      </c>
      <c r="G350" s="608" t="s">
        <v>1500</v>
      </c>
      <c r="H350" s="609"/>
      <c r="I350" s="609"/>
      <c r="J350" s="407"/>
    </row>
    <row r="351" spans="1:10">
      <c r="A351" s="541">
        <v>4155</v>
      </c>
      <c r="B351" s="541" t="s">
        <v>1498</v>
      </c>
      <c r="C351" s="610"/>
      <c r="D351" s="610"/>
      <c r="E351" s="543"/>
      <c r="F351" s="608" t="s">
        <v>1501</v>
      </c>
      <c r="G351" s="608" t="s">
        <v>1502</v>
      </c>
      <c r="H351" s="609">
        <v>-28022777</v>
      </c>
      <c r="I351" s="609">
        <v>-28022777</v>
      </c>
      <c r="J351" s="407"/>
    </row>
    <row r="352" spans="1:10">
      <c r="A352" s="541">
        <v>415501</v>
      </c>
      <c r="B352" s="541" t="s">
        <v>1500</v>
      </c>
      <c r="C352" s="609"/>
      <c r="D352" s="609"/>
      <c r="E352" s="543"/>
      <c r="F352" s="608" t="s">
        <v>1499</v>
      </c>
      <c r="G352" s="608" t="s">
        <v>1500</v>
      </c>
      <c r="H352" s="610">
        <v>-28022777</v>
      </c>
      <c r="I352" s="610">
        <v>-28022777</v>
      </c>
      <c r="J352" s="407"/>
    </row>
    <row r="353" spans="1:10">
      <c r="A353" s="541">
        <v>415501003</v>
      </c>
      <c r="B353" s="541" t="s">
        <v>1502</v>
      </c>
      <c r="C353" s="609">
        <v>-28022777</v>
      </c>
      <c r="D353" s="609">
        <v>-28022777</v>
      </c>
      <c r="E353" s="543"/>
      <c r="F353" s="608" t="s">
        <v>1503</v>
      </c>
      <c r="G353" s="608" t="s">
        <v>1504</v>
      </c>
      <c r="H353" s="609"/>
      <c r="I353" s="609"/>
      <c r="J353" s="407"/>
    </row>
    <row r="354" spans="1:10">
      <c r="A354" s="541">
        <v>415501</v>
      </c>
      <c r="B354" s="541" t="s">
        <v>1500</v>
      </c>
      <c r="C354" s="622">
        <v>-28022777</v>
      </c>
      <c r="D354" s="609">
        <v>-28022777</v>
      </c>
      <c r="E354" s="543"/>
      <c r="F354" s="608" t="s">
        <v>1505</v>
      </c>
      <c r="G354" s="608" t="s">
        <v>1502</v>
      </c>
      <c r="H354" s="609">
        <v>15720166</v>
      </c>
      <c r="I354" s="609">
        <v>15720166</v>
      </c>
      <c r="J354" s="407"/>
    </row>
    <row r="355" spans="1:10">
      <c r="A355" s="541">
        <v>415502</v>
      </c>
      <c r="B355" s="541" t="s">
        <v>1504</v>
      </c>
      <c r="C355" s="616"/>
      <c r="D355" s="616"/>
      <c r="E355" s="543"/>
      <c r="F355" s="608" t="s">
        <v>1503</v>
      </c>
      <c r="G355" s="608" t="s">
        <v>1504</v>
      </c>
      <c r="H355" s="609">
        <v>15720166</v>
      </c>
      <c r="I355" s="609">
        <v>15720166</v>
      </c>
      <c r="J355" s="407"/>
    </row>
    <row r="356" spans="1:10">
      <c r="A356" s="541">
        <v>415502003</v>
      </c>
      <c r="B356" s="541" t="s">
        <v>1502</v>
      </c>
      <c r="C356" s="609">
        <v>15720166</v>
      </c>
      <c r="D356" s="609">
        <v>15720166</v>
      </c>
      <c r="E356" s="543"/>
      <c r="F356" s="608" t="s">
        <v>1497</v>
      </c>
      <c r="G356" s="608" t="s">
        <v>1498</v>
      </c>
      <c r="H356" s="609">
        <v>-12302611</v>
      </c>
      <c r="I356" s="609">
        <v>-12302611</v>
      </c>
      <c r="J356" s="407"/>
    </row>
    <row r="357" spans="1:10">
      <c r="A357" s="541">
        <v>415502</v>
      </c>
      <c r="B357" s="541" t="s">
        <v>1504</v>
      </c>
      <c r="C357" s="625">
        <v>15720166</v>
      </c>
      <c r="D357" s="610">
        <v>15720166</v>
      </c>
      <c r="E357" s="543"/>
      <c r="F357" s="608" t="s">
        <v>1772</v>
      </c>
      <c r="G357" s="608" t="s">
        <v>1773</v>
      </c>
      <c r="H357" s="609"/>
      <c r="I357" s="609"/>
      <c r="J357" s="407"/>
    </row>
    <row r="358" spans="1:10">
      <c r="A358" s="541">
        <v>4155</v>
      </c>
      <c r="B358" s="541" t="s">
        <v>1498</v>
      </c>
      <c r="C358" s="610">
        <v>-12302611</v>
      </c>
      <c r="D358" s="610">
        <v>-12302611</v>
      </c>
      <c r="E358" s="543"/>
      <c r="F358" s="608"/>
      <c r="G358" s="608"/>
      <c r="H358" s="609"/>
      <c r="I358" s="609"/>
      <c r="J358" s="407"/>
    </row>
    <row r="359" spans="1:10">
      <c r="A359" s="541">
        <v>4157</v>
      </c>
      <c r="B359" s="541" t="s">
        <v>1507</v>
      </c>
      <c r="C359" s="609"/>
      <c r="D359" s="609"/>
      <c r="E359" s="543"/>
      <c r="F359" s="608"/>
      <c r="G359" s="608"/>
      <c r="H359" s="609"/>
      <c r="I359" s="609"/>
      <c r="J359" s="407"/>
    </row>
    <row r="360" spans="1:10">
      <c r="A360" s="541">
        <v>415701</v>
      </c>
      <c r="B360" s="541" t="s">
        <v>1509</v>
      </c>
      <c r="C360" s="609"/>
      <c r="D360" s="609"/>
      <c r="E360" s="543"/>
      <c r="F360" s="608"/>
      <c r="G360" s="608"/>
      <c r="H360" s="609"/>
      <c r="I360" s="609"/>
      <c r="J360" s="407"/>
    </row>
    <row r="361" spans="1:10">
      <c r="A361" s="541">
        <v>415701003</v>
      </c>
      <c r="B361" s="541" t="s">
        <v>1511</v>
      </c>
      <c r="C361" s="609"/>
      <c r="D361" s="609"/>
      <c r="E361" s="543"/>
      <c r="F361" s="608"/>
      <c r="G361" s="608"/>
      <c r="H361" s="609"/>
      <c r="I361" s="609"/>
      <c r="J361" s="407"/>
    </row>
    <row r="362" spans="1:10">
      <c r="A362" s="541">
        <v>415701</v>
      </c>
      <c r="B362" s="541" t="s">
        <v>1509</v>
      </c>
      <c r="C362" s="621"/>
      <c r="D362" s="610"/>
      <c r="E362" s="543"/>
      <c r="F362" s="608"/>
      <c r="G362" s="608"/>
      <c r="H362" s="609"/>
      <c r="I362" s="609"/>
      <c r="J362" s="407"/>
    </row>
    <row r="363" spans="1:10">
      <c r="A363" s="541">
        <v>415702</v>
      </c>
      <c r="B363" s="541" t="s">
        <v>1513</v>
      </c>
      <c r="C363" s="609"/>
      <c r="D363" s="609"/>
      <c r="E363" s="543"/>
      <c r="F363" s="608"/>
      <c r="G363" s="608"/>
      <c r="H363" s="609"/>
      <c r="I363" s="609"/>
      <c r="J363" s="407"/>
    </row>
    <row r="364" spans="1:10">
      <c r="A364" s="541">
        <v>415702003</v>
      </c>
      <c r="B364" s="541" t="s">
        <v>1511</v>
      </c>
      <c r="C364" s="609"/>
      <c r="D364" s="609"/>
      <c r="E364" s="543"/>
      <c r="F364" s="608"/>
      <c r="G364" s="608"/>
      <c r="H364" s="609"/>
      <c r="I364" s="609"/>
      <c r="J364" s="407"/>
    </row>
    <row r="365" spans="1:10">
      <c r="A365" s="541">
        <v>415702</v>
      </c>
      <c r="B365" s="541" t="s">
        <v>1513</v>
      </c>
      <c r="C365" s="624"/>
      <c r="D365" s="609"/>
      <c r="E365" s="543"/>
      <c r="F365" s="608"/>
      <c r="G365" s="608"/>
      <c r="H365" s="609"/>
      <c r="I365" s="609"/>
      <c r="J365" s="407"/>
    </row>
    <row r="366" spans="1:10">
      <c r="A366" s="541">
        <v>4157</v>
      </c>
      <c r="B366" s="541" t="s">
        <v>1507</v>
      </c>
      <c r="C366" s="609"/>
      <c r="D366" s="609"/>
      <c r="E366" s="543"/>
      <c r="F366" s="608"/>
      <c r="G366" s="608"/>
      <c r="H366" s="609"/>
      <c r="I366" s="609"/>
      <c r="J366" s="407"/>
    </row>
    <row r="367" spans="1:10">
      <c r="A367" s="541">
        <v>4159</v>
      </c>
      <c r="B367" s="541" t="s">
        <v>1516</v>
      </c>
      <c r="C367" s="616"/>
      <c r="D367" s="616"/>
      <c r="E367" s="543"/>
      <c r="F367" s="608"/>
      <c r="G367" s="608"/>
      <c r="H367" s="609"/>
      <c r="I367" s="609"/>
      <c r="J367" s="407"/>
    </row>
    <row r="368" spans="1:10">
      <c r="A368" s="541">
        <v>415901</v>
      </c>
      <c r="B368" s="541" t="s">
        <v>1518</v>
      </c>
      <c r="C368" s="616"/>
      <c r="D368" s="616"/>
      <c r="E368" s="543"/>
      <c r="F368" s="608"/>
      <c r="G368" s="608"/>
      <c r="H368" s="609"/>
      <c r="I368" s="609"/>
      <c r="J368" s="407"/>
    </row>
    <row r="369" spans="1:10">
      <c r="A369" s="541">
        <v>415901003</v>
      </c>
      <c r="B369" s="541" t="s">
        <v>1266</v>
      </c>
      <c r="C369" s="609"/>
      <c r="D369" s="609"/>
      <c r="E369" s="543"/>
      <c r="F369" s="608"/>
      <c r="G369" s="608"/>
      <c r="H369" s="609"/>
      <c r="I369" s="609"/>
      <c r="J369" s="407"/>
    </row>
    <row r="370" spans="1:10">
      <c r="A370" s="541">
        <v>415901</v>
      </c>
      <c r="B370" s="541" t="s">
        <v>1518</v>
      </c>
      <c r="C370" s="622"/>
      <c r="D370" s="609"/>
      <c r="E370" s="543"/>
      <c r="F370" s="608"/>
      <c r="G370" s="608"/>
      <c r="H370" s="609"/>
      <c r="I370" s="609"/>
      <c r="J370" s="407"/>
    </row>
    <row r="371" spans="1:10">
      <c r="A371" s="541">
        <v>415902</v>
      </c>
      <c r="B371" s="541" t="s">
        <v>1521</v>
      </c>
      <c r="C371" s="610"/>
      <c r="D371" s="610"/>
      <c r="E371" s="543"/>
      <c r="F371" s="608"/>
      <c r="G371" s="608"/>
      <c r="H371" s="609"/>
      <c r="I371" s="609"/>
      <c r="J371" s="407"/>
    </row>
    <row r="372" spans="1:10">
      <c r="A372" s="541">
        <v>415902003</v>
      </c>
      <c r="B372" s="541" t="s">
        <v>1266</v>
      </c>
      <c r="C372" s="609"/>
      <c r="D372" s="609"/>
      <c r="E372" s="543"/>
      <c r="F372" s="608"/>
      <c r="G372" s="608"/>
      <c r="H372" s="609"/>
      <c r="I372" s="609"/>
      <c r="J372" s="407"/>
    </row>
    <row r="373" spans="1:10">
      <c r="A373" s="541">
        <v>415902</v>
      </c>
      <c r="B373" s="541" t="s">
        <v>1521</v>
      </c>
      <c r="C373" s="624"/>
      <c r="D373" s="609"/>
      <c r="E373" s="543"/>
      <c r="F373" s="608"/>
      <c r="G373" s="608"/>
      <c r="H373" s="609"/>
      <c r="I373" s="609"/>
      <c r="J373" s="407"/>
    </row>
    <row r="374" spans="1:10">
      <c r="A374" s="541">
        <v>4159</v>
      </c>
      <c r="B374" s="541" t="s">
        <v>1516</v>
      </c>
      <c r="C374" s="609"/>
      <c r="D374" s="609"/>
      <c r="E374" s="543"/>
      <c r="F374" s="608"/>
      <c r="G374" s="608"/>
      <c r="H374" s="609"/>
      <c r="I374" s="609"/>
      <c r="J374" s="407"/>
    </row>
    <row r="375" spans="1:10">
      <c r="A375" s="541">
        <v>4161</v>
      </c>
      <c r="B375" s="541" t="s">
        <v>1773</v>
      </c>
      <c r="C375" s="610"/>
      <c r="D375" s="610"/>
      <c r="E375" s="543"/>
      <c r="F375" s="608"/>
      <c r="G375" s="608"/>
      <c r="H375" s="609"/>
      <c r="I375" s="609"/>
      <c r="J375" s="407"/>
    </row>
    <row r="376" spans="1:10">
      <c r="A376" s="541">
        <v>416101</v>
      </c>
      <c r="B376" s="541" t="s">
        <v>1775</v>
      </c>
      <c r="C376" s="610"/>
      <c r="D376" s="610"/>
      <c r="E376" s="543"/>
      <c r="F376" s="608"/>
      <c r="G376" s="608"/>
      <c r="H376" s="609"/>
      <c r="I376" s="609"/>
      <c r="J376" s="407"/>
    </row>
    <row r="377" spans="1:10">
      <c r="A377" s="541">
        <v>416101003</v>
      </c>
      <c r="B377" s="541" t="s">
        <v>1777</v>
      </c>
      <c r="C377" s="609">
        <v>-20941072</v>
      </c>
      <c r="D377" s="609">
        <v>-20941072</v>
      </c>
      <c r="E377" s="543"/>
      <c r="F377" s="608" t="s">
        <v>1774</v>
      </c>
      <c r="G377" s="608" t="s">
        <v>1775</v>
      </c>
      <c r="H377" s="610"/>
      <c r="I377" s="610"/>
      <c r="J377" s="407"/>
    </row>
    <row r="378" spans="1:10">
      <c r="A378" s="541">
        <v>416101</v>
      </c>
      <c r="B378" s="541" t="s">
        <v>1775</v>
      </c>
      <c r="C378" s="622">
        <v>-20941072</v>
      </c>
      <c r="D378" s="609">
        <v>-20941072</v>
      </c>
      <c r="E378" s="543"/>
      <c r="F378" s="608" t="s">
        <v>1776</v>
      </c>
      <c r="G378" s="608" t="s">
        <v>1777</v>
      </c>
      <c r="H378" s="610">
        <v>-20941072</v>
      </c>
      <c r="I378" s="610">
        <v>-20941072</v>
      </c>
      <c r="J378" s="407"/>
    </row>
    <row r="379" spans="1:10">
      <c r="A379" s="541">
        <v>416102</v>
      </c>
      <c r="B379" s="541" t="s">
        <v>1847</v>
      </c>
      <c r="C379" s="610"/>
      <c r="D379" s="610"/>
      <c r="E379" s="543"/>
      <c r="F379" s="608" t="s">
        <v>1774</v>
      </c>
      <c r="G379" s="608" t="s">
        <v>1775</v>
      </c>
      <c r="H379" s="609">
        <v>-20941072</v>
      </c>
      <c r="I379" s="609">
        <v>-20941072</v>
      </c>
      <c r="J379" s="407"/>
    </row>
    <row r="380" spans="1:10">
      <c r="A380" s="541">
        <v>416102003</v>
      </c>
      <c r="B380" s="541" t="s">
        <v>1848</v>
      </c>
      <c r="C380" s="609">
        <v>23151718</v>
      </c>
      <c r="D380" s="609">
        <v>23151718</v>
      </c>
      <c r="E380" s="543"/>
      <c r="F380" s="608" t="s">
        <v>2018</v>
      </c>
      <c r="G380" s="608" t="s">
        <v>1847</v>
      </c>
      <c r="H380" s="609"/>
      <c r="I380" s="609"/>
      <c r="J380" s="407"/>
    </row>
    <row r="381" spans="1:10">
      <c r="A381" s="541">
        <v>416102</v>
      </c>
      <c r="B381" s="541" t="s">
        <v>1847</v>
      </c>
      <c r="C381" s="624">
        <v>23151718</v>
      </c>
      <c r="D381" s="609">
        <v>23151718</v>
      </c>
      <c r="E381" s="543"/>
      <c r="F381" s="608" t="s">
        <v>2019</v>
      </c>
      <c r="G381" s="608" t="s">
        <v>1848</v>
      </c>
      <c r="H381" s="609">
        <v>23151718</v>
      </c>
      <c r="I381" s="609">
        <v>23151718</v>
      </c>
      <c r="J381" s="407"/>
    </row>
    <row r="382" spans="1:10">
      <c r="A382" s="541">
        <v>4161</v>
      </c>
      <c r="B382" s="541" t="s">
        <v>1773</v>
      </c>
      <c r="C382" s="609">
        <v>2210646</v>
      </c>
      <c r="D382" s="609">
        <v>2210646</v>
      </c>
      <c r="E382" s="543"/>
      <c r="F382" s="608" t="s">
        <v>2018</v>
      </c>
      <c r="G382" s="608" t="s">
        <v>1847</v>
      </c>
      <c r="H382" s="609">
        <v>23151718</v>
      </c>
      <c r="I382" s="609">
        <v>23151718</v>
      </c>
      <c r="J382" s="407"/>
    </row>
    <row r="383" spans="1:10">
      <c r="A383" s="541">
        <v>4165</v>
      </c>
      <c r="B383" s="541" t="s">
        <v>1524</v>
      </c>
      <c r="C383" s="616"/>
      <c r="D383" s="616"/>
      <c r="E383" s="543"/>
      <c r="F383" s="608" t="s">
        <v>1772</v>
      </c>
      <c r="G383" s="608" t="s">
        <v>1773</v>
      </c>
      <c r="H383" s="610">
        <v>2210646</v>
      </c>
      <c r="I383" s="610">
        <v>2210646</v>
      </c>
      <c r="J383" s="407"/>
    </row>
    <row r="384" spans="1:10">
      <c r="A384" s="541">
        <v>416501</v>
      </c>
      <c r="B384" s="541" t="s">
        <v>1526</v>
      </c>
      <c r="C384" s="616"/>
      <c r="D384" s="616"/>
      <c r="E384" s="543"/>
      <c r="F384" s="608" t="s">
        <v>1523</v>
      </c>
      <c r="G384" s="608" t="s">
        <v>1524</v>
      </c>
      <c r="H384" s="609"/>
      <c r="I384" s="609"/>
      <c r="J384" s="407"/>
    </row>
    <row r="385" spans="1:10">
      <c r="A385" s="599">
        <v>416501001</v>
      </c>
      <c r="B385" s="599" t="s">
        <v>2073</v>
      </c>
      <c r="C385" s="617"/>
      <c r="D385" s="617"/>
      <c r="E385" s="543"/>
      <c r="F385" s="608" t="s">
        <v>1525</v>
      </c>
      <c r="G385" s="608" t="s">
        <v>1526</v>
      </c>
      <c r="H385" s="609"/>
      <c r="I385" s="609"/>
      <c r="J385" s="407"/>
    </row>
    <row r="386" spans="1:10">
      <c r="A386" s="541">
        <v>416501002</v>
      </c>
      <c r="B386" s="541" t="s">
        <v>1528</v>
      </c>
      <c r="C386" s="615">
        <v>-6483000</v>
      </c>
      <c r="D386" s="615">
        <v>-6483000</v>
      </c>
      <c r="E386" s="543"/>
      <c r="F386" s="608" t="s">
        <v>1527</v>
      </c>
      <c r="G386" s="608" t="s">
        <v>1528</v>
      </c>
      <c r="H386" s="609">
        <v>-6483000</v>
      </c>
      <c r="I386" s="609">
        <v>-6483000</v>
      </c>
      <c r="J386" s="407"/>
    </row>
    <row r="387" spans="1:10">
      <c r="A387" s="541">
        <v>416501003</v>
      </c>
      <c r="B387" s="541" t="s">
        <v>1530</v>
      </c>
      <c r="C387" s="615">
        <v>-1127092</v>
      </c>
      <c r="D387" s="615">
        <v>-1127092</v>
      </c>
      <c r="E387" s="543"/>
      <c r="F387" s="608" t="s">
        <v>1529</v>
      </c>
      <c r="G387" s="608" t="s">
        <v>1530</v>
      </c>
      <c r="H387" s="609">
        <v>-1127092</v>
      </c>
      <c r="I387" s="609">
        <v>-1127092</v>
      </c>
      <c r="J387" s="407"/>
    </row>
    <row r="388" spans="1:10">
      <c r="A388" s="541">
        <v>416501</v>
      </c>
      <c r="B388" s="541" t="s">
        <v>1526</v>
      </c>
      <c r="C388" s="623">
        <v>-7610092</v>
      </c>
      <c r="D388" s="615">
        <v>-7610092</v>
      </c>
      <c r="E388" s="543"/>
      <c r="F388" s="608" t="s">
        <v>1525</v>
      </c>
      <c r="G388" s="608" t="s">
        <v>1526</v>
      </c>
      <c r="H388" s="609">
        <v>-7610092</v>
      </c>
      <c r="I388" s="609">
        <v>-7610092</v>
      </c>
      <c r="J388" s="407"/>
    </row>
    <row r="389" spans="1:10">
      <c r="A389" s="541">
        <v>416502</v>
      </c>
      <c r="B389" s="541" t="s">
        <v>1532</v>
      </c>
      <c r="C389" s="616"/>
      <c r="D389" s="616"/>
      <c r="E389" s="543"/>
      <c r="F389" s="608" t="s">
        <v>1531</v>
      </c>
      <c r="G389" s="608" t="s">
        <v>1532</v>
      </c>
      <c r="H389" s="610"/>
      <c r="I389" s="610"/>
      <c r="J389" s="407"/>
    </row>
    <row r="390" spans="1:10">
      <c r="A390" s="599">
        <v>416502001</v>
      </c>
      <c r="B390" s="599" t="s">
        <v>2074</v>
      </c>
      <c r="C390" s="617"/>
      <c r="D390" s="617"/>
      <c r="E390" s="543"/>
      <c r="F390" s="608" t="s">
        <v>1533</v>
      </c>
      <c r="G390" s="608" t="s">
        <v>1534</v>
      </c>
      <c r="H390" s="610">
        <v>3477013</v>
      </c>
      <c r="I390" s="610">
        <v>3477013</v>
      </c>
      <c r="J390" s="407"/>
    </row>
    <row r="391" spans="1:10">
      <c r="A391" s="541">
        <v>416502002</v>
      </c>
      <c r="B391" s="541" t="s">
        <v>1534</v>
      </c>
      <c r="C391" s="615">
        <v>3477013</v>
      </c>
      <c r="D391" s="615">
        <v>3477013</v>
      </c>
      <c r="E391" s="543"/>
      <c r="F391" s="608" t="s">
        <v>1535</v>
      </c>
      <c r="G391" s="608" t="s">
        <v>1536</v>
      </c>
      <c r="H391" s="609">
        <v>456134</v>
      </c>
      <c r="I391" s="609">
        <v>456134</v>
      </c>
      <c r="J391" s="407"/>
    </row>
    <row r="392" spans="1:10">
      <c r="A392" s="541">
        <v>416502003</v>
      </c>
      <c r="B392" s="541" t="s">
        <v>1536</v>
      </c>
      <c r="C392" s="615">
        <v>456134</v>
      </c>
      <c r="D392" s="615">
        <v>456134</v>
      </c>
      <c r="E392" s="543"/>
      <c r="F392" s="608" t="s">
        <v>1531</v>
      </c>
      <c r="G392" s="608" t="s">
        <v>1532</v>
      </c>
      <c r="H392" s="609">
        <v>3933147</v>
      </c>
      <c r="I392" s="609">
        <v>3933147</v>
      </c>
      <c r="J392" s="407"/>
    </row>
    <row r="393" spans="1:10">
      <c r="A393" s="541">
        <v>416502</v>
      </c>
      <c r="B393" s="541" t="s">
        <v>1532</v>
      </c>
      <c r="C393" s="626">
        <v>3933147</v>
      </c>
      <c r="D393" s="615">
        <v>3933147</v>
      </c>
      <c r="E393" s="543"/>
      <c r="F393" s="608" t="s">
        <v>1523</v>
      </c>
      <c r="G393" s="608" t="s">
        <v>1524</v>
      </c>
      <c r="H393" s="609">
        <v>-3676945</v>
      </c>
      <c r="I393" s="609">
        <v>-3676945</v>
      </c>
      <c r="J393" s="407"/>
    </row>
    <row r="394" spans="1:10">
      <c r="A394" s="541">
        <v>4165</v>
      </c>
      <c r="B394" s="541" t="s">
        <v>1524</v>
      </c>
      <c r="C394" s="615">
        <v>-3676945</v>
      </c>
      <c r="D394" s="615">
        <v>-3676945</v>
      </c>
      <c r="E394" s="543"/>
      <c r="F394" s="608" t="s">
        <v>1537</v>
      </c>
      <c r="G394" s="608" t="s">
        <v>1538</v>
      </c>
      <c r="H394" s="610"/>
      <c r="I394" s="610"/>
      <c r="J394" s="407"/>
    </row>
    <row r="395" spans="1:10">
      <c r="A395" s="541">
        <v>4170</v>
      </c>
      <c r="B395" s="541" t="s">
        <v>1538</v>
      </c>
      <c r="C395" s="616"/>
      <c r="D395" s="616"/>
      <c r="E395" s="543"/>
      <c r="F395" s="608" t="s">
        <v>1539</v>
      </c>
      <c r="G395" s="608" t="s">
        <v>1540</v>
      </c>
      <c r="H395" s="609"/>
      <c r="I395" s="609"/>
      <c r="J395" s="407"/>
    </row>
    <row r="396" spans="1:10">
      <c r="A396" s="541">
        <v>417001</v>
      </c>
      <c r="B396" s="541" t="s">
        <v>1540</v>
      </c>
      <c r="C396" s="616"/>
      <c r="D396" s="616"/>
      <c r="E396" s="543"/>
      <c r="F396" s="608" t="s">
        <v>1543</v>
      </c>
      <c r="G396" s="608" t="s">
        <v>1544</v>
      </c>
      <c r="H396" s="609">
        <v>-30706160</v>
      </c>
      <c r="I396" s="609">
        <v>-30706160</v>
      </c>
      <c r="J396" s="407"/>
    </row>
    <row r="397" spans="1:10">
      <c r="A397" s="541">
        <v>417001001</v>
      </c>
      <c r="B397" s="541" t="s">
        <v>1542</v>
      </c>
      <c r="C397" s="609"/>
      <c r="D397" s="609"/>
      <c r="E397" s="543"/>
      <c r="F397" s="608" t="s">
        <v>1780</v>
      </c>
      <c r="G397" s="608" t="s">
        <v>1781</v>
      </c>
      <c r="H397" s="609">
        <v>-4427379</v>
      </c>
      <c r="I397" s="609">
        <v>-4427379</v>
      </c>
      <c r="J397" s="407"/>
    </row>
    <row r="398" spans="1:10">
      <c r="A398" s="541">
        <v>417001003</v>
      </c>
      <c r="B398" s="541" t="s">
        <v>1544</v>
      </c>
      <c r="C398" s="609">
        <v>-30706160</v>
      </c>
      <c r="D398" s="609">
        <v>-30706160</v>
      </c>
      <c r="E398" s="543">
        <v>3613607</v>
      </c>
      <c r="F398" s="608" t="s">
        <v>2020</v>
      </c>
      <c r="G398" s="608" t="s">
        <v>1907</v>
      </c>
      <c r="H398" s="609">
        <v>-46930881</v>
      </c>
      <c r="I398" s="609">
        <v>-46930881</v>
      </c>
      <c r="J398" s="407"/>
    </row>
    <row r="399" spans="1:10">
      <c r="A399" s="541">
        <v>417001004</v>
      </c>
      <c r="B399" s="541" t="s">
        <v>1779</v>
      </c>
      <c r="C399" s="610"/>
      <c r="D399" s="610"/>
      <c r="E399" s="543"/>
      <c r="F399" s="608" t="s">
        <v>1539</v>
      </c>
      <c r="G399" s="608" t="s">
        <v>1540</v>
      </c>
      <c r="H399" s="610">
        <v>-82064420</v>
      </c>
      <c r="I399" s="610">
        <v>-82064420</v>
      </c>
      <c r="J399" s="407"/>
    </row>
    <row r="400" spans="1:10">
      <c r="A400" s="541">
        <v>417001005</v>
      </c>
      <c r="B400" s="541" t="s">
        <v>1781</v>
      </c>
      <c r="C400" s="610">
        <v>-4427379</v>
      </c>
      <c r="D400" s="610">
        <v>-4427379</v>
      </c>
      <c r="E400" s="543"/>
      <c r="F400" s="608" t="s">
        <v>1537</v>
      </c>
      <c r="G400" s="608" t="s">
        <v>1538</v>
      </c>
      <c r="H400" s="610">
        <v>-82064420</v>
      </c>
      <c r="I400" s="610">
        <v>-82064420</v>
      </c>
      <c r="J400" s="407"/>
    </row>
    <row r="401" spans="1:10">
      <c r="A401" s="541">
        <v>417001007</v>
      </c>
      <c r="B401" s="541" t="s">
        <v>1545</v>
      </c>
      <c r="C401" s="609"/>
      <c r="D401" s="609"/>
      <c r="E401" s="543"/>
      <c r="F401" s="608" t="s">
        <v>1548</v>
      </c>
      <c r="G401" s="608" t="s">
        <v>1549</v>
      </c>
      <c r="H401" s="609"/>
      <c r="I401" s="609"/>
      <c r="J401" s="407"/>
    </row>
    <row r="402" spans="1:10">
      <c r="A402" s="541">
        <v>417001008</v>
      </c>
      <c r="B402" s="541" t="s">
        <v>1907</v>
      </c>
      <c r="C402" s="609">
        <v>-46930881</v>
      </c>
      <c r="D402" s="609">
        <v>-46930881</v>
      </c>
      <c r="E402" s="543"/>
      <c r="F402" s="608" t="s">
        <v>1550</v>
      </c>
      <c r="G402" s="608" t="s">
        <v>1551</v>
      </c>
      <c r="H402" s="609"/>
      <c r="I402" s="609"/>
      <c r="J402" s="407"/>
    </row>
    <row r="403" spans="1:10">
      <c r="A403" s="541">
        <v>417001</v>
      </c>
      <c r="B403" s="541" t="s">
        <v>1540</v>
      </c>
      <c r="C403" s="622">
        <v>-82064420</v>
      </c>
      <c r="D403" s="609">
        <v>-82064420</v>
      </c>
      <c r="E403" s="543"/>
      <c r="F403" s="608" t="s">
        <v>1552</v>
      </c>
      <c r="G403" s="608" t="s">
        <v>1553</v>
      </c>
      <c r="H403" s="610">
        <v>-1000000</v>
      </c>
      <c r="I403" s="610">
        <v>-1000000</v>
      </c>
      <c r="J403" s="407"/>
    </row>
    <row r="404" spans="1:10">
      <c r="A404" s="541">
        <v>417002</v>
      </c>
      <c r="B404" s="541" t="s">
        <v>1546</v>
      </c>
      <c r="C404" s="616"/>
      <c r="D404" s="616"/>
      <c r="E404" s="543"/>
      <c r="F404" s="608" t="s">
        <v>1554</v>
      </c>
      <c r="G404" s="608" t="s">
        <v>1555</v>
      </c>
      <c r="H404" s="609">
        <v>-43350000</v>
      </c>
      <c r="I404" s="609">
        <v>-43350000</v>
      </c>
      <c r="J404" s="407"/>
    </row>
    <row r="405" spans="1:10">
      <c r="A405" s="541">
        <v>417002001</v>
      </c>
      <c r="B405" s="541" t="s">
        <v>1908</v>
      </c>
      <c r="C405" s="615"/>
      <c r="D405" s="615"/>
      <c r="E405" s="543">
        <v>91598</v>
      </c>
      <c r="F405" s="608" t="s">
        <v>1556</v>
      </c>
      <c r="G405" s="608" t="s">
        <v>1557</v>
      </c>
      <c r="H405" s="609">
        <v>-33590000</v>
      </c>
      <c r="I405" s="609">
        <v>-33590000</v>
      </c>
      <c r="J405" s="407"/>
    </row>
    <row r="406" spans="1:10">
      <c r="A406" s="541">
        <v>417002007</v>
      </c>
      <c r="B406" s="541" t="s">
        <v>1547</v>
      </c>
      <c r="C406" s="615"/>
      <c r="D406" s="615"/>
      <c r="E406" s="543">
        <v>1426982</v>
      </c>
      <c r="F406" s="608" t="s">
        <v>1782</v>
      </c>
      <c r="G406" s="608" t="s">
        <v>1783</v>
      </c>
      <c r="H406" s="609">
        <v>-450000</v>
      </c>
      <c r="I406" s="609">
        <v>-450000</v>
      </c>
      <c r="J406" s="407"/>
    </row>
    <row r="407" spans="1:10">
      <c r="A407" s="541">
        <v>417002</v>
      </c>
      <c r="B407" s="541" t="s">
        <v>1546</v>
      </c>
      <c r="C407" s="626"/>
      <c r="D407" s="615"/>
      <c r="E407" s="543"/>
      <c r="F407" s="608" t="s">
        <v>1558</v>
      </c>
      <c r="G407" s="608" t="s">
        <v>1559</v>
      </c>
      <c r="H407" s="610">
        <v>-11520000</v>
      </c>
      <c r="I407" s="610">
        <v>-11520000</v>
      </c>
      <c r="J407" s="407"/>
    </row>
    <row r="408" spans="1:10">
      <c r="A408" s="541">
        <v>4170</v>
      </c>
      <c r="B408" s="541" t="s">
        <v>1538</v>
      </c>
      <c r="C408" s="615">
        <v>-82064420</v>
      </c>
      <c r="D408" s="615">
        <v>-82064420</v>
      </c>
      <c r="E408" s="543"/>
      <c r="F408" s="608" t="s">
        <v>1784</v>
      </c>
      <c r="G408" s="608" t="s">
        <v>1785</v>
      </c>
      <c r="H408" s="610">
        <v>-1710000</v>
      </c>
      <c r="I408" s="610">
        <v>-1710000</v>
      </c>
      <c r="J408" s="407"/>
    </row>
    <row r="409" spans="1:10">
      <c r="A409" s="541">
        <v>4180</v>
      </c>
      <c r="B409" s="541" t="s">
        <v>1549</v>
      </c>
      <c r="C409" s="616"/>
      <c r="D409" s="616"/>
      <c r="E409" s="573">
        <v>129331726</v>
      </c>
      <c r="F409" s="608" t="s">
        <v>1560</v>
      </c>
      <c r="G409" s="608" t="s">
        <v>1561</v>
      </c>
      <c r="H409" s="609">
        <v>-18180000</v>
      </c>
      <c r="I409" s="609">
        <v>-18180000</v>
      </c>
      <c r="J409" s="407"/>
    </row>
    <row r="410" spans="1:10">
      <c r="A410" s="541">
        <v>418001</v>
      </c>
      <c r="B410" s="541" t="s">
        <v>1551</v>
      </c>
      <c r="C410" s="616"/>
      <c r="D410" s="616"/>
      <c r="E410" s="573">
        <v>28550780</v>
      </c>
      <c r="F410" s="608" t="s">
        <v>1550</v>
      </c>
      <c r="G410" s="608" t="s">
        <v>1551</v>
      </c>
      <c r="H410" s="609">
        <v>-109800000</v>
      </c>
      <c r="I410" s="609">
        <v>-109800000</v>
      </c>
      <c r="J410" s="407"/>
    </row>
    <row r="411" spans="1:10">
      <c r="A411" s="541">
        <v>418001002</v>
      </c>
      <c r="B411" s="541" t="s">
        <v>1553</v>
      </c>
      <c r="C411" s="615">
        <v>-1000000</v>
      </c>
      <c r="D411" s="615">
        <v>-1000000</v>
      </c>
      <c r="E411" s="573">
        <v>61314549</v>
      </c>
      <c r="F411" s="608" t="s">
        <v>1548</v>
      </c>
      <c r="G411" s="608" t="s">
        <v>1549</v>
      </c>
      <c r="H411" s="610">
        <v>-109800000</v>
      </c>
      <c r="I411" s="610">
        <v>-109800000</v>
      </c>
      <c r="J411" s="407"/>
    </row>
    <row r="412" spans="1:10">
      <c r="A412" s="541">
        <v>418001007</v>
      </c>
      <c r="B412" s="541" t="s">
        <v>1555</v>
      </c>
      <c r="C412" s="615">
        <v>-43350000</v>
      </c>
      <c r="D412" s="615">
        <v>-43350000</v>
      </c>
      <c r="E412" s="573">
        <v>18427787</v>
      </c>
      <c r="F412" s="608" t="s">
        <v>1563</v>
      </c>
      <c r="G412" s="608" t="s">
        <v>1564</v>
      </c>
      <c r="H412" s="609"/>
      <c r="I412" s="609"/>
      <c r="J412" s="407"/>
    </row>
    <row r="413" spans="1:10">
      <c r="A413" s="541">
        <v>418001008</v>
      </c>
      <c r="B413" s="541" t="s">
        <v>1557</v>
      </c>
      <c r="C413" s="615">
        <v>-33590000</v>
      </c>
      <c r="D413" s="615">
        <v>-33590000</v>
      </c>
      <c r="E413" s="543"/>
      <c r="F413" s="608" t="s">
        <v>1565</v>
      </c>
      <c r="G413" s="608" t="s">
        <v>1566</v>
      </c>
      <c r="H413" s="609"/>
      <c r="I413" s="609"/>
      <c r="J413" s="407"/>
    </row>
    <row r="414" spans="1:10">
      <c r="A414" s="541">
        <v>418001009</v>
      </c>
      <c r="B414" s="541" t="s">
        <v>1783</v>
      </c>
      <c r="C414" s="615">
        <v>-450000</v>
      </c>
      <c r="D414" s="615">
        <v>-450000</v>
      </c>
      <c r="E414" s="543"/>
      <c r="F414" s="608" t="s">
        <v>1567</v>
      </c>
      <c r="G414" s="608" t="s">
        <v>1568</v>
      </c>
      <c r="H414" s="609">
        <v>-5464115</v>
      </c>
      <c r="I414" s="609">
        <v>-5464115</v>
      </c>
      <c r="J414" s="407"/>
    </row>
    <row r="415" spans="1:10">
      <c r="A415" s="541">
        <v>418001010</v>
      </c>
      <c r="B415" s="541" t="s">
        <v>1559</v>
      </c>
      <c r="C415" s="615">
        <v>-11520000</v>
      </c>
      <c r="D415" s="615">
        <v>-11520000</v>
      </c>
      <c r="E415" s="543"/>
      <c r="F415" s="608" t="s">
        <v>1565</v>
      </c>
      <c r="G415" s="608" t="s">
        <v>1566</v>
      </c>
      <c r="H415" s="610">
        <v>-5464115</v>
      </c>
      <c r="I415" s="610">
        <v>-5464115</v>
      </c>
      <c r="J415" s="407"/>
    </row>
    <row r="416" spans="1:10">
      <c r="A416" s="541">
        <v>418001016</v>
      </c>
      <c r="B416" s="541" t="s">
        <v>1785</v>
      </c>
      <c r="C416" s="615">
        <v>-1710000</v>
      </c>
      <c r="D416" s="615">
        <v>-1710000</v>
      </c>
      <c r="E416" s="543"/>
      <c r="F416" s="608" t="s">
        <v>1563</v>
      </c>
      <c r="G416" s="608" t="s">
        <v>1564</v>
      </c>
      <c r="H416" s="610">
        <v>-5464115</v>
      </c>
      <c r="I416" s="610">
        <v>-5464115</v>
      </c>
      <c r="J416" s="407"/>
    </row>
    <row r="417" spans="1:10">
      <c r="A417" s="541">
        <v>418001050</v>
      </c>
      <c r="B417" s="541" t="s">
        <v>1561</v>
      </c>
      <c r="C417" s="615">
        <v>-18180000</v>
      </c>
      <c r="D417" s="615">
        <v>-18180000</v>
      </c>
      <c r="E417" s="543"/>
      <c r="F417" s="608" t="s">
        <v>1398</v>
      </c>
      <c r="G417" s="608" t="s">
        <v>1399</v>
      </c>
      <c r="H417" s="609">
        <v>-2848750870</v>
      </c>
      <c r="I417" s="609">
        <v>-2848750870</v>
      </c>
      <c r="J417" s="407"/>
    </row>
    <row r="418" spans="1:10">
      <c r="A418" s="541">
        <v>418001080</v>
      </c>
      <c r="B418" s="541" t="s">
        <v>1562</v>
      </c>
      <c r="C418" s="615"/>
      <c r="D418" s="615"/>
      <c r="E418" s="543"/>
      <c r="F418" s="608" t="s">
        <v>1569</v>
      </c>
      <c r="G418" s="608" t="s">
        <v>1570</v>
      </c>
      <c r="H418" s="609"/>
      <c r="I418" s="609"/>
      <c r="J418" s="407"/>
    </row>
    <row r="419" spans="1:10">
      <c r="A419" s="541">
        <v>418001</v>
      </c>
      <c r="B419" s="541" t="s">
        <v>1551</v>
      </c>
      <c r="C419" s="615">
        <v>-109800000</v>
      </c>
      <c r="D419" s="615">
        <v>-109800000</v>
      </c>
      <c r="E419" s="543"/>
      <c r="F419" s="608" t="s">
        <v>1571</v>
      </c>
      <c r="G419" s="608" t="s">
        <v>1572</v>
      </c>
      <c r="H419" s="610"/>
      <c r="I419" s="610"/>
      <c r="J419" s="407"/>
    </row>
    <row r="420" spans="1:10">
      <c r="A420" s="541">
        <v>4180</v>
      </c>
      <c r="B420" s="541" t="s">
        <v>1549</v>
      </c>
      <c r="C420" s="623">
        <v>-109800000</v>
      </c>
      <c r="D420" s="615">
        <v>-109800000</v>
      </c>
      <c r="E420" s="543"/>
      <c r="F420" s="608"/>
      <c r="G420" s="608"/>
      <c r="H420" s="610"/>
      <c r="I420" s="610"/>
      <c r="J420" s="407"/>
    </row>
    <row r="421" spans="1:10">
      <c r="A421" s="541">
        <v>4185</v>
      </c>
      <c r="B421" s="541" t="s">
        <v>1564</v>
      </c>
      <c r="C421" s="616"/>
      <c r="D421" s="616"/>
      <c r="E421" s="543"/>
      <c r="F421" s="608"/>
      <c r="G421" s="608"/>
      <c r="H421" s="610"/>
      <c r="I421" s="610"/>
      <c r="J421" s="407"/>
    </row>
    <row r="422" spans="1:10">
      <c r="A422" s="541">
        <v>418502</v>
      </c>
      <c r="B422" s="541" t="s">
        <v>1909</v>
      </c>
      <c r="C422" s="616"/>
      <c r="D422" s="616"/>
      <c r="E422" s="543"/>
      <c r="F422" s="608"/>
      <c r="G422" s="608"/>
      <c r="H422" s="610"/>
      <c r="I422" s="610"/>
      <c r="J422" s="407"/>
    </row>
    <row r="423" spans="1:10">
      <c r="A423" s="541">
        <v>418502005</v>
      </c>
      <c r="B423" s="541" t="s">
        <v>1910</v>
      </c>
      <c r="C423" s="626"/>
      <c r="D423" s="615"/>
      <c r="E423" s="543"/>
      <c r="F423" s="608"/>
      <c r="G423" s="608"/>
      <c r="H423" s="610"/>
      <c r="I423" s="610"/>
      <c r="J423" s="407"/>
    </row>
    <row r="424" spans="1:10">
      <c r="A424" s="541">
        <v>418502</v>
      </c>
      <c r="B424" s="541" t="s">
        <v>1909</v>
      </c>
      <c r="C424" s="615"/>
      <c r="D424" s="615"/>
      <c r="E424" s="543"/>
      <c r="F424" s="608"/>
      <c r="G424" s="608"/>
      <c r="H424" s="610"/>
      <c r="I424" s="610"/>
      <c r="J424" s="407"/>
    </row>
    <row r="425" spans="1:10">
      <c r="A425" s="541">
        <v>418510</v>
      </c>
      <c r="B425" s="541" t="s">
        <v>1566</v>
      </c>
      <c r="C425" s="616"/>
      <c r="D425" s="616"/>
      <c r="E425" s="543"/>
      <c r="F425" s="608"/>
      <c r="G425" s="608"/>
      <c r="H425" s="610"/>
      <c r="I425" s="610"/>
      <c r="J425" s="407"/>
    </row>
    <row r="426" spans="1:10">
      <c r="A426" s="541">
        <v>418510003</v>
      </c>
      <c r="B426" s="541" t="s">
        <v>1568</v>
      </c>
      <c r="C426" s="615">
        <v>-5464115</v>
      </c>
      <c r="D426" s="615">
        <v>-5464115</v>
      </c>
      <c r="E426" s="543"/>
      <c r="F426" s="608"/>
      <c r="G426" s="608"/>
      <c r="H426" s="610"/>
      <c r="I426" s="610"/>
      <c r="J426" s="407"/>
    </row>
    <row r="427" spans="1:10">
      <c r="A427" s="541">
        <v>418510</v>
      </c>
      <c r="B427" s="541" t="s">
        <v>1566</v>
      </c>
      <c r="C427" s="623">
        <v>-5464115</v>
      </c>
      <c r="D427" s="615">
        <v>-5464115</v>
      </c>
      <c r="E427" s="619"/>
      <c r="F427" s="608"/>
      <c r="G427" s="608"/>
      <c r="H427" s="610"/>
      <c r="I427" s="610"/>
    </row>
    <row r="428" spans="1:10">
      <c r="A428" s="541">
        <v>4185</v>
      </c>
      <c r="B428" s="541" t="s">
        <v>1564</v>
      </c>
      <c r="C428" s="615">
        <v>-5464115</v>
      </c>
      <c r="D428" s="615">
        <v>-5464115</v>
      </c>
      <c r="E428" s="619"/>
      <c r="F428" s="608"/>
      <c r="G428" s="608"/>
      <c r="H428" s="610"/>
      <c r="I428" s="610"/>
    </row>
    <row r="429" spans="1:10">
      <c r="A429" s="599">
        <v>4190</v>
      </c>
      <c r="B429" s="599" t="s">
        <v>2075</v>
      </c>
      <c r="C429" s="618"/>
      <c r="D429" s="618"/>
      <c r="E429" s="619"/>
      <c r="F429" s="608"/>
      <c r="G429" s="608"/>
      <c r="H429" s="610"/>
      <c r="I429" s="610"/>
    </row>
    <row r="430" spans="1:10">
      <c r="A430" s="599">
        <v>419001</v>
      </c>
      <c r="B430" s="599" t="s">
        <v>2076</v>
      </c>
      <c r="C430" s="618"/>
      <c r="D430" s="618"/>
      <c r="E430" s="619"/>
      <c r="F430" s="608"/>
      <c r="G430" s="608"/>
      <c r="H430" s="610"/>
      <c r="I430" s="610"/>
    </row>
    <row r="431" spans="1:10">
      <c r="A431" s="599">
        <v>419001031</v>
      </c>
      <c r="B431" s="599" t="s">
        <v>2077</v>
      </c>
      <c r="C431" s="618"/>
      <c r="D431" s="618"/>
      <c r="E431" s="619"/>
      <c r="F431" s="608"/>
      <c r="G431" s="608"/>
      <c r="H431" s="610"/>
      <c r="I431" s="610"/>
    </row>
    <row r="432" spans="1:10">
      <c r="A432" s="599">
        <v>419001</v>
      </c>
      <c r="B432" s="599" t="s">
        <v>2076</v>
      </c>
      <c r="C432" s="618"/>
      <c r="D432" s="618"/>
      <c r="E432" s="543"/>
      <c r="F432" s="608"/>
      <c r="G432" s="608"/>
      <c r="H432" s="610"/>
      <c r="I432" s="610"/>
    </row>
    <row r="433" spans="1:9">
      <c r="A433" s="599">
        <v>4190</v>
      </c>
      <c r="B433" s="599" t="s">
        <v>2075</v>
      </c>
      <c r="C433" s="618"/>
      <c r="D433" s="618"/>
      <c r="E433" s="543"/>
      <c r="F433" s="608"/>
      <c r="G433" s="608"/>
      <c r="H433" s="610"/>
      <c r="I433" s="610"/>
    </row>
    <row r="434" spans="1:9">
      <c r="A434" s="541">
        <v>41</v>
      </c>
      <c r="B434" s="541" t="s">
        <v>1399</v>
      </c>
      <c r="C434" s="615">
        <v>-2848750870</v>
      </c>
      <c r="D434" s="615">
        <v>-2848750870</v>
      </c>
      <c r="E434" s="543"/>
      <c r="F434" s="608"/>
      <c r="G434" s="608"/>
      <c r="H434" s="610"/>
      <c r="I434" s="610"/>
    </row>
    <row r="435" spans="1:9">
      <c r="A435" s="541">
        <v>44</v>
      </c>
      <c r="B435" s="541" t="s">
        <v>1570</v>
      </c>
      <c r="C435" s="616"/>
      <c r="D435" s="616"/>
      <c r="E435" s="543"/>
      <c r="F435" s="608" t="s">
        <v>1786</v>
      </c>
      <c r="G435" s="608" t="s">
        <v>1787</v>
      </c>
      <c r="H435" s="609"/>
      <c r="I435" s="609"/>
    </row>
    <row r="436" spans="1:9">
      <c r="A436" s="541">
        <v>4401</v>
      </c>
      <c r="B436" s="541" t="s">
        <v>1572</v>
      </c>
      <c r="C436" s="616"/>
      <c r="D436" s="616"/>
      <c r="E436" s="543"/>
      <c r="F436" s="608" t="s">
        <v>1788</v>
      </c>
      <c r="G436" s="608" t="s">
        <v>1023</v>
      </c>
      <c r="H436" s="609">
        <v>-5525</v>
      </c>
      <c r="I436" s="609">
        <v>-5525</v>
      </c>
    </row>
    <row r="437" spans="1:9">
      <c r="A437" s="541">
        <v>440101</v>
      </c>
      <c r="B437" s="541" t="s">
        <v>1787</v>
      </c>
      <c r="C437" s="615"/>
      <c r="D437" s="615"/>
      <c r="E437" s="543"/>
      <c r="F437" s="608" t="s">
        <v>2021</v>
      </c>
      <c r="G437" s="608" t="s">
        <v>1024</v>
      </c>
      <c r="H437" s="609">
        <v>-1450000</v>
      </c>
      <c r="I437" s="609">
        <v>-1450000</v>
      </c>
    </row>
    <row r="438" spans="1:9">
      <c r="A438" s="541">
        <v>440101001</v>
      </c>
      <c r="B438" s="541" t="s">
        <v>1023</v>
      </c>
      <c r="C438" s="615">
        <v>-5525</v>
      </c>
      <c r="D438" s="615">
        <v>-5525</v>
      </c>
      <c r="E438" s="543"/>
      <c r="F438" s="608" t="s">
        <v>1786</v>
      </c>
      <c r="G438" s="608" t="s">
        <v>1787</v>
      </c>
      <c r="H438" s="610">
        <v>-1455525</v>
      </c>
      <c r="I438" s="610">
        <v>-1455525</v>
      </c>
    </row>
    <row r="439" spans="1:9">
      <c r="A439" s="541">
        <v>440101091</v>
      </c>
      <c r="B439" s="541" t="s">
        <v>1024</v>
      </c>
      <c r="C439" s="615">
        <v>-1450000</v>
      </c>
      <c r="D439" s="615">
        <v>-1450000</v>
      </c>
      <c r="E439" s="543"/>
      <c r="F439" s="608" t="s">
        <v>1573</v>
      </c>
      <c r="G439" s="608" t="s">
        <v>1574</v>
      </c>
      <c r="H439" s="610"/>
      <c r="I439" s="610"/>
    </row>
    <row r="440" spans="1:9">
      <c r="A440" s="541">
        <v>440101</v>
      </c>
      <c r="B440" s="541" t="s">
        <v>1787</v>
      </c>
      <c r="C440" s="615">
        <v>-1455525</v>
      </c>
      <c r="D440" s="615">
        <v>-1455525</v>
      </c>
      <c r="E440" s="543"/>
      <c r="F440" s="608" t="s">
        <v>1789</v>
      </c>
      <c r="G440" s="608" t="s">
        <v>1790</v>
      </c>
      <c r="H440" s="609">
        <v>-38621902</v>
      </c>
      <c r="I440" s="609">
        <v>-38621902</v>
      </c>
    </row>
    <row r="441" spans="1:9">
      <c r="A441" s="541">
        <v>440111</v>
      </c>
      <c r="B441" s="541" t="s">
        <v>1574</v>
      </c>
      <c r="C441" s="616"/>
      <c r="D441" s="616"/>
      <c r="E441" s="543"/>
      <c r="F441" s="608" t="s">
        <v>1577</v>
      </c>
      <c r="G441" s="608" t="s">
        <v>1021</v>
      </c>
      <c r="H441" s="609">
        <v>-28795224</v>
      </c>
      <c r="I441" s="609">
        <v>-28795224</v>
      </c>
    </row>
    <row r="442" spans="1:9">
      <c r="A442" s="541">
        <v>440111001</v>
      </c>
      <c r="B442" s="541" t="s">
        <v>1790</v>
      </c>
      <c r="C442" s="615">
        <v>-38621902</v>
      </c>
      <c r="D442" s="615">
        <v>-38621902</v>
      </c>
      <c r="E442" s="543"/>
      <c r="F442" s="608" t="s">
        <v>1791</v>
      </c>
      <c r="G442" s="608" t="s">
        <v>1022</v>
      </c>
      <c r="H442" s="610">
        <v>-12195851</v>
      </c>
      <c r="I442" s="610">
        <v>-12195851</v>
      </c>
    </row>
    <row r="443" spans="1:9">
      <c r="A443" s="541">
        <v>440111031</v>
      </c>
      <c r="B443" s="541" t="s">
        <v>1575</v>
      </c>
      <c r="C443" s="615"/>
      <c r="D443" s="615"/>
      <c r="E443" s="543"/>
      <c r="F443" s="608" t="s">
        <v>2022</v>
      </c>
      <c r="G443" s="608" t="s">
        <v>2023</v>
      </c>
      <c r="H443" s="609">
        <v>-318182</v>
      </c>
      <c r="I443" s="609">
        <v>-318182</v>
      </c>
    </row>
    <row r="444" spans="1:9">
      <c r="A444" s="541">
        <v>440111091</v>
      </c>
      <c r="B444" s="541" t="s">
        <v>1021</v>
      </c>
      <c r="C444" s="615">
        <v>-28795224</v>
      </c>
      <c r="D444" s="615">
        <v>-28795224</v>
      </c>
      <c r="E444" s="543"/>
      <c r="F444" s="608" t="s">
        <v>1573</v>
      </c>
      <c r="G444" s="608" t="s">
        <v>1574</v>
      </c>
      <c r="H444" s="609">
        <v>-79931159</v>
      </c>
      <c r="I444" s="609">
        <v>-79931159</v>
      </c>
    </row>
    <row r="445" spans="1:9">
      <c r="A445" s="541">
        <v>440111092</v>
      </c>
      <c r="B445" s="541" t="s">
        <v>1022</v>
      </c>
      <c r="C445" s="615">
        <v>-12195851</v>
      </c>
      <c r="D445" s="615">
        <v>-12195851</v>
      </c>
      <c r="E445" s="543"/>
      <c r="F445" s="608" t="s">
        <v>1571</v>
      </c>
      <c r="G445" s="608" t="s">
        <v>1572</v>
      </c>
      <c r="H445" s="609">
        <v>-81386684</v>
      </c>
      <c r="I445" s="609">
        <v>-81386684</v>
      </c>
    </row>
    <row r="446" spans="1:9">
      <c r="A446" s="599">
        <v>440111093</v>
      </c>
      <c r="B446" s="599" t="s">
        <v>2023</v>
      </c>
      <c r="C446" s="618">
        <v>-318182</v>
      </c>
      <c r="D446" s="618">
        <v>-318182</v>
      </c>
      <c r="E446" s="543"/>
      <c r="F446" s="608" t="s">
        <v>1569</v>
      </c>
      <c r="G446" s="608" t="s">
        <v>1570</v>
      </c>
      <c r="H446" s="610">
        <v>-81386684</v>
      </c>
      <c r="I446" s="610">
        <v>-81386684</v>
      </c>
    </row>
    <row r="447" spans="1:9">
      <c r="A447" s="541">
        <v>440111</v>
      </c>
      <c r="B447" s="541" t="s">
        <v>1574</v>
      </c>
      <c r="C447" s="615">
        <v>-79931159</v>
      </c>
      <c r="D447" s="615">
        <v>-79931159</v>
      </c>
      <c r="E447" s="543"/>
      <c r="F447" s="608" t="s">
        <v>1396</v>
      </c>
      <c r="G447" s="608" t="s">
        <v>1397</v>
      </c>
      <c r="H447" s="610">
        <v>-2930137554</v>
      </c>
      <c r="I447" s="610">
        <v>-2930137554</v>
      </c>
    </row>
    <row r="448" spans="1:9">
      <c r="A448" s="541">
        <v>4401</v>
      </c>
      <c r="B448" s="541" t="s">
        <v>1572</v>
      </c>
      <c r="C448" s="615">
        <v>-81386684</v>
      </c>
      <c r="D448" s="615">
        <v>-81386684</v>
      </c>
      <c r="E448" s="543"/>
      <c r="F448" s="608" t="s">
        <v>1578</v>
      </c>
      <c r="G448" s="608" t="s">
        <v>1579</v>
      </c>
      <c r="H448" s="609"/>
      <c r="I448" s="609"/>
    </row>
    <row r="449" spans="1:9">
      <c r="A449" s="541">
        <v>44</v>
      </c>
      <c r="B449" s="541" t="s">
        <v>1570</v>
      </c>
      <c r="C449" s="615">
        <v>-81386684</v>
      </c>
      <c r="D449" s="615">
        <v>-81386684</v>
      </c>
      <c r="E449" s="543"/>
      <c r="F449" s="608" t="s">
        <v>1580</v>
      </c>
      <c r="G449" s="608" t="s">
        <v>1581</v>
      </c>
      <c r="H449" s="609"/>
      <c r="I449" s="609"/>
    </row>
    <row r="450" spans="1:9">
      <c r="A450" s="541">
        <v>4</v>
      </c>
      <c r="B450" s="541" t="s">
        <v>1397</v>
      </c>
      <c r="C450" s="615">
        <v>-2930137554</v>
      </c>
      <c r="D450" s="615">
        <v>-2930137554</v>
      </c>
      <c r="E450" s="543"/>
      <c r="F450" s="608" t="s">
        <v>1582</v>
      </c>
      <c r="G450" s="608" t="s">
        <v>1583</v>
      </c>
      <c r="H450" s="609"/>
      <c r="I450" s="609"/>
    </row>
    <row r="451" spans="1:9">
      <c r="A451" s="541">
        <v>5</v>
      </c>
      <c r="B451" s="541" t="s">
        <v>1579</v>
      </c>
      <c r="C451" s="615"/>
      <c r="D451" s="615"/>
      <c r="E451" s="543"/>
      <c r="F451" s="608"/>
      <c r="G451" s="608"/>
      <c r="H451" s="609"/>
      <c r="I451" s="609"/>
    </row>
    <row r="452" spans="1:9">
      <c r="A452" s="541">
        <v>52</v>
      </c>
      <c r="B452" s="541" t="s">
        <v>1581</v>
      </c>
      <c r="C452" s="616"/>
      <c r="D452" s="616"/>
      <c r="E452" s="543"/>
      <c r="F452" s="608"/>
      <c r="G452" s="608"/>
      <c r="H452" s="609"/>
      <c r="I452" s="609"/>
    </row>
    <row r="453" spans="1:9">
      <c r="A453" s="541">
        <v>5201</v>
      </c>
      <c r="B453" s="541" t="s">
        <v>1583</v>
      </c>
      <c r="C453" s="615"/>
      <c r="D453" s="615"/>
      <c r="E453" s="543"/>
      <c r="F453" s="608"/>
      <c r="G453" s="608"/>
      <c r="H453" s="609"/>
      <c r="I453" s="609"/>
    </row>
    <row r="454" spans="1:9">
      <c r="A454" s="541">
        <v>520101</v>
      </c>
      <c r="B454" s="541" t="s">
        <v>1585</v>
      </c>
      <c r="C454" s="615"/>
      <c r="D454" s="615"/>
      <c r="E454" s="543"/>
      <c r="F454" s="608" t="s">
        <v>1584</v>
      </c>
      <c r="G454" s="608" t="s">
        <v>1585</v>
      </c>
      <c r="H454" s="610"/>
      <c r="I454" s="610"/>
    </row>
    <row r="455" spans="1:9">
      <c r="A455" s="541">
        <v>520101011</v>
      </c>
      <c r="B455" s="541" t="s">
        <v>1587</v>
      </c>
      <c r="C455" s="615">
        <v>262957678</v>
      </c>
      <c r="D455" s="615">
        <v>262957678</v>
      </c>
      <c r="E455" s="543"/>
      <c r="F455" s="608" t="s">
        <v>1586</v>
      </c>
      <c r="G455" s="608" t="s">
        <v>1587</v>
      </c>
      <c r="H455" s="609">
        <v>262957678</v>
      </c>
      <c r="I455" s="609">
        <v>262957678</v>
      </c>
    </row>
    <row r="456" spans="1:9">
      <c r="A456" s="541">
        <v>520101022</v>
      </c>
      <c r="B456" s="541" t="s">
        <v>1861</v>
      </c>
      <c r="C456" s="615"/>
      <c r="D456" s="615"/>
      <c r="E456" s="543"/>
      <c r="F456" s="608" t="s">
        <v>1862</v>
      </c>
      <c r="G456" s="608" t="s">
        <v>1863</v>
      </c>
      <c r="H456" s="609">
        <v>642421</v>
      </c>
      <c r="I456" s="609">
        <v>642421</v>
      </c>
    </row>
    <row r="457" spans="1:9">
      <c r="A457" s="541">
        <v>520101069</v>
      </c>
      <c r="B457" s="541" t="s">
        <v>1863</v>
      </c>
      <c r="C457" s="615">
        <v>642421</v>
      </c>
      <c r="D457" s="615">
        <v>642421</v>
      </c>
      <c r="E457" s="543"/>
      <c r="F457" s="608" t="s">
        <v>1864</v>
      </c>
      <c r="G457" s="608" t="s">
        <v>1865</v>
      </c>
      <c r="H457" s="609">
        <v>81818181</v>
      </c>
      <c r="I457" s="609">
        <v>81818181</v>
      </c>
    </row>
    <row r="458" spans="1:9">
      <c r="A458" s="599">
        <v>520101070</v>
      </c>
      <c r="B458" s="599" t="s">
        <v>1865</v>
      </c>
      <c r="C458" s="618">
        <v>81818181</v>
      </c>
      <c r="D458" s="618">
        <v>81818181</v>
      </c>
      <c r="E458" s="543"/>
      <c r="F458" s="608" t="s">
        <v>1593</v>
      </c>
      <c r="G458" s="608" t="s">
        <v>1594</v>
      </c>
      <c r="H458" s="609">
        <v>68580003</v>
      </c>
      <c r="I458" s="609">
        <v>68580003</v>
      </c>
    </row>
    <row r="459" spans="1:9">
      <c r="A459" s="541">
        <v>520101073</v>
      </c>
      <c r="B459" s="541" t="s">
        <v>1594</v>
      </c>
      <c r="C459" s="615">
        <v>68580003</v>
      </c>
      <c r="D459" s="615">
        <v>68580003</v>
      </c>
      <c r="E459" s="543"/>
      <c r="F459" s="608" t="s">
        <v>1597</v>
      </c>
      <c r="G459" s="608" t="s">
        <v>1598</v>
      </c>
      <c r="H459" s="610">
        <v>53724739</v>
      </c>
      <c r="I459" s="610">
        <v>53724739</v>
      </c>
    </row>
    <row r="460" spans="1:9">
      <c r="A460" s="541">
        <v>520101074</v>
      </c>
      <c r="B460" s="541" t="s">
        <v>1596</v>
      </c>
      <c r="C460" s="615"/>
      <c r="D460" s="615"/>
      <c r="E460" s="543"/>
      <c r="F460" s="608" t="s">
        <v>1599</v>
      </c>
      <c r="G460" s="608" t="s">
        <v>1600</v>
      </c>
      <c r="H460" s="610">
        <v>32913000</v>
      </c>
      <c r="I460" s="610">
        <v>32913000</v>
      </c>
    </row>
    <row r="461" spans="1:9">
      <c r="A461" s="541">
        <v>520101077</v>
      </c>
      <c r="B461" s="541" t="s">
        <v>1598</v>
      </c>
      <c r="C461" s="615">
        <v>53724739</v>
      </c>
      <c r="D461" s="615">
        <v>53724739</v>
      </c>
      <c r="E461" s="543"/>
      <c r="F461" s="608" t="s">
        <v>1793</v>
      </c>
      <c r="G461" s="608" t="s">
        <v>1794</v>
      </c>
      <c r="H461" s="609">
        <v>158920075</v>
      </c>
      <c r="I461" s="609">
        <v>158920075</v>
      </c>
    </row>
    <row r="462" spans="1:9">
      <c r="A462" s="541">
        <v>520101079</v>
      </c>
      <c r="B462" s="541" t="s">
        <v>1600</v>
      </c>
      <c r="C462" s="615">
        <v>32913000</v>
      </c>
      <c r="D462" s="615">
        <v>32913000</v>
      </c>
      <c r="E462" s="543"/>
      <c r="F462" s="608" t="s">
        <v>1602</v>
      </c>
      <c r="G462" s="608" t="s">
        <v>1603</v>
      </c>
      <c r="H462" s="609">
        <v>10363636</v>
      </c>
      <c r="I462" s="609">
        <v>10363636</v>
      </c>
    </row>
    <row r="463" spans="1:9">
      <c r="A463" s="541">
        <v>520101085</v>
      </c>
      <c r="B463" s="541" t="s">
        <v>1794</v>
      </c>
      <c r="C463" s="615">
        <v>158920075</v>
      </c>
      <c r="D463" s="615">
        <v>158920075</v>
      </c>
      <c r="E463" s="543"/>
      <c r="F463" s="608" t="s">
        <v>1604</v>
      </c>
      <c r="G463" s="608" t="s">
        <v>1605</v>
      </c>
      <c r="H463" s="609">
        <v>602713</v>
      </c>
      <c r="I463" s="609">
        <v>602713</v>
      </c>
    </row>
    <row r="464" spans="1:9">
      <c r="A464" s="599">
        <v>520101090</v>
      </c>
      <c r="B464" s="599" t="s">
        <v>2069</v>
      </c>
      <c r="C464" s="618"/>
      <c r="D464" s="618"/>
      <c r="E464" s="543"/>
      <c r="F464" s="608" t="s">
        <v>1795</v>
      </c>
      <c r="G464" s="608" t="s">
        <v>1796</v>
      </c>
      <c r="H464" s="609">
        <v>26724672</v>
      </c>
      <c r="I464" s="609">
        <v>26724672</v>
      </c>
    </row>
    <row r="465" spans="1:9">
      <c r="A465" s="541">
        <v>520101092</v>
      </c>
      <c r="B465" s="541" t="s">
        <v>1603</v>
      </c>
      <c r="C465" s="615">
        <v>10363636</v>
      </c>
      <c r="D465" s="615">
        <v>10363636</v>
      </c>
      <c r="E465" s="543"/>
      <c r="F465" s="608" t="s">
        <v>1866</v>
      </c>
      <c r="G465" s="608" t="s">
        <v>1867</v>
      </c>
      <c r="H465" s="609">
        <v>10716688</v>
      </c>
      <c r="I465" s="609">
        <v>10716688</v>
      </c>
    </row>
    <row r="466" spans="1:9">
      <c r="A466" s="541">
        <v>520101094</v>
      </c>
      <c r="B466" s="541" t="s">
        <v>1605</v>
      </c>
      <c r="C466" s="615">
        <v>602713</v>
      </c>
      <c r="D466" s="615">
        <v>602713</v>
      </c>
      <c r="E466" s="543"/>
      <c r="F466" s="608" t="s">
        <v>1606</v>
      </c>
      <c r="G466" s="608" t="s">
        <v>1607</v>
      </c>
      <c r="H466" s="609">
        <v>409091</v>
      </c>
      <c r="I466" s="609">
        <v>409091</v>
      </c>
    </row>
    <row r="467" spans="1:9">
      <c r="A467" s="541">
        <v>520101095</v>
      </c>
      <c r="B467" s="541" t="s">
        <v>1796</v>
      </c>
      <c r="C467" s="615">
        <v>26724672</v>
      </c>
      <c r="D467" s="615">
        <v>26724672</v>
      </c>
      <c r="E467" s="543"/>
      <c r="F467" s="608" t="s">
        <v>1608</v>
      </c>
      <c r="G467" s="608" t="s">
        <v>1609</v>
      </c>
      <c r="H467" s="609">
        <v>5983426</v>
      </c>
      <c r="I467" s="609">
        <v>5983426</v>
      </c>
    </row>
    <row r="468" spans="1:9">
      <c r="A468" s="541">
        <v>520101102</v>
      </c>
      <c r="B468" s="541" t="s">
        <v>1867</v>
      </c>
      <c r="C468" s="615">
        <v>10716688</v>
      </c>
      <c r="D468" s="615">
        <v>10716688</v>
      </c>
      <c r="E468" s="543"/>
      <c r="F468" s="608" t="s">
        <v>1610</v>
      </c>
      <c r="G468" s="608" t="s">
        <v>1611</v>
      </c>
      <c r="H468" s="610">
        <v>3399165</v>
      </c>
      <c r="I468" s="610">
        <v>3399165</v>
      </c>
    </row>
    <row r="469" spans="1:9">
      <c r="A469" s="541">
        <v>520101103</v>
      </c>
      <c r="B469" s="541" t="s">
        <v>1849</v>
      </c>
      <c r="C469" s="615"/>
      <c r="D469" s="615"/>
      <c r="E469" s="543"/>
      <c r="F469" s="608" t="s">
        <v>1612</v>
      </c>
      <c r="G469" s="608" t="s">
        <v>1613</v>
      </c>
      <c r="H469" s="609">
        <v>15917230</v>
      </c>
      <c r="I469" s="609">
        <v>15917230</v>
      </c>
    </row>
    <row r="470" spans="1:9">
      <c r="A470" s="541">
        <v>520101150</v>
      </c>
      <c r="B470" s="541" t="s">
        <v>1607</v>
      </c>
      <c r="C470" s="615">
        <v>409091</v>
      </c>
      <c r="D470" s="615">
        <v>409091</v>
      </c>
      <c r="E470" s="543"/>
      <c r="F470" s="608" t="s">
        <v>1868</v>
      </c>
      <c r="G470" s="608" t="s">
        <v>1869</v>
      </c>
      <c r="H470" s="609">
        <v>32954545</v>
      </c>
      <c r="I470" s="609">
        <v>32954545</v>
      </c>
    </row>
    <row r="471" spans="1:9">
      <c r="A471" s="541">
        <v>520101168</v>
      </c>
      <c r="B471" s="541" t="s">
        <v>1609</v>
      </c>
      <c r="C471" s="615">
        <v>5983426</v>
      </c>
      <c r="D471" s="615">
        <v>5983426</v>
      </c>
      <c r="E471" s="543"/>
      <c r="F471" s="608" t="s">
        <v>1797</v>
      </c>
      <c r="G471" s="608" t="s">
        <v>1798</v>
      </c>
      <c r="H471" s="609">
        <v>7532800</v>
      </c>
      <c r="I471" s="609">
        <v>7532800</v>
      </c>
    </row>
    <row r="472" spans="1:9">
      <c r="A472" s="541">
        <v>520101201</v>
      </c>
      <c r="B472" s="541" t="s">
        <v>1611</v>
      </c>
      <c r="C472" s="615">
        <v>3399165</v>
      </c>
      <c r="D472" s="615">
        <v>3399165</v>
      </c>
      <c r="E472" s="543"/>
      <c r="F472" s="608" t="s">
        <v>1616</v>
      </c>
      <c r="G472" s="608" t="s">
        <v>1617</v>
      </c>
      <c r="H472" s="609">
        <v>1440068</v>
      </c>
      <c r="I472" s="609">
        <v>1440068</v>
      </c>
    </row>
    <row r="473" spans="1:9">
      <c r="A473" s="541">
        <v>520101202</v>
      </c>
      <c r="B473" s="541" t="s">
        <v>1613</v>
      </c>
      <c r="C473" s="615">
        <v>15917230</v>
      </c>
      <c r="D473" s="615">
        <v>15917230</v>
      </c>
      <c r="E473" s="543"/>
      <c r="F473" s="608" t="s">
        <v>1618</v>
      </c>
      <c r="G473" s="608" t="s">
        <v>1619</v>
      </c>
      <c r="H473" s="610">
        <v>4051556</v>
      </c>
      <c r="I473" s="610">
        <v>4051556</v>
      </c>
    </row>
    <row r="474" spans="1:9">
      <c r="A474" s="692" t="s">
        <v>1868</v>
      </c>
      <c r="B474" s="692" t="s">
        <v>1869</v>
      </c>
      <c r="C474" s="693">
        <v>32954545</v>
      </c>
      <c r="D474" s="693">
        <v>32954545</v>
      </c>
      <c r="E474" s="543"/>
      <c r="F474" s="608" t="s">
        <v>1620</v>
      </c>
      <c r="G474" s="608" t="s">
        <v>1621</v>
      </c>
      <c r="H474" s="610">
        <v>20445461</v>
      </c>
      <c r="I474" s="610">
        <v>20445461</v>
      </c>
    </row>
    <row r="475" spans="1:9">
      <c r="A475" s="541">
        <v>520101204</v>
      </c>
      <c r="B475" s="541" t="s">
        <v>1615</v>
      </c>
      <c r="C475" s="615"/>
      <c r="D475" s="615"/>
      <c r="E475" s="543"/>
      <c r="F475" s="608" t="s">
        <v>1622</v>
      </c>
      <c r="G475" s="608" t="s">
        <v>1623</v>
      </c>
      <c r="H475" s="609">
        <v>13554195</v>
      </c>
      <c r="I475" s="609">
        <v>13554195</v>
      </c>
    </row>
    <row r="476" spans="1:9">
      <c r="A476" s="541">
        <v>520101219</v>
      </c>
      <c r="B476" s="541" t="s">
        <v>1798</v>
      </c>
      <c r="C476" s="615">
        <v>7532800</v>
      </c>
      <c r="D476" s="615">
        <v>7532800</v>
      </c>
      <c r="E476" s="543"/>
      <c r="F476" s="608" t="s">
        <v>1584</v>
      </c>
      <c r="G476" s="608" t="s">
        <v>1585</v>
      </c>
      <c r="H476" s="609">
        <v>813651343</v>
      </c>
      <c r="I476" s="609">
        <v>813651343</v>
      </c>
    </row>
    <row r="477" spans="1:9">
      <c r="A477" s="541">
        <v>520101221</v>
      </c>
      <c r="B477" s="541" t="s">
        <v>1617</v>
      </c>
      <c r="C477" s="615">
        <v>1440068</v>
      </c>
      <c r="D477" s="615">
        <v>1440068</v>
      </c>
      <c r="E477" s="543"/>
      <c r="F477" s="608" t="s">
        <v>1871</v>
      </c>
      <c r="G477" s="608" t="s">
        <v>1872</v>
      </c>
      <c r="H477" s="609"/>
      <c r="I477" s="609"/>
    </row>
    <row r="478" spans="1:9">
      <c r="A478" s="541">
        <v>520101246</v>
      </c>
      <c r="B478" s="541" t="s">
        <v>1619</v>
      </c>
      <c r="C478" s="615">
        <v>4051556</v>
      </c>
      <c r="D478" s="615">
        <v>4051556</v>
      </c>
      <c r="E478" s="543"/>
      <c r="F478" s="608" t="s">
        <v>1873</v>
      </c>
      <c r="G478" s="608" t="s">
        <v>1874</v>
      </c>
      <c r="H478" s="609">
        <v>13636</v>
      </c>
      <c r="I478" s="609">
        <v>13636</v>
      </c>
    </row>
    <row r="479" spans="1:9">
      <c r="A479" s="541">
        <v>520101249</v>
      </c>
      <c r="B479" s="541" t="s">
        <v>1621</v>
      </c>
      <c r="C479" s="615">
        <v>20445461</v>
      </c>
      <c r="D479" s="615">
        <v>20445461</v>
      </c>
      <c r="E479" s="543"/>
      <c r="F479" s="608" t="s">
        <v>1871</v>
      </c>
      <c r="G479" s="608" t="s">
        <v>1872</v>
      </c>
      <c r="H479" s="609">
        <v>13636</v>
      </c>
      <c r="I479" s="609">
        <v>13636</v>
      </c>
    </row>
    <row r="480" spans="1:9">
      <c r="A480" s="541">
        <v>520101250</v>
      </c>
      <c r="B480" s="541" t="s">
        <v>1623</v>
      </c>
      <c r="C480" s="615">
        <v>13554195</v>
      </c>
      <c r="D480" s="615">
        <v>13554195</v>
      </c>
      <c r="E480" s="543"/>
      <c r="F480" s="608" t="s">
        <v>1625</v>
      </c>
      <c r="G480" s="608" t="s">
        <v>1626</v>
      </c>
      <c r="H480" s="609"/>
      <c r="I480" s="609"/>
    </row>
    <row r="481" spans="1:9">
      <c r="A481" s="541">
        <v>520101</v>
      </c>
      <c r="B481" s="541" t="s">
        <v>1585</v>
      </c>
      <c r="C481" s="615">
        <v>813651343</v>
      </c>
      <c r="D481" s="615">
        <v>813651343</v>
      </c>
      <c r="E481" s="543"/>
      <c r="F481" s="608" t="s">
        <v>1627</v>
      </c>
      <c r="G481" s="608" t="s">
        <v>1628</v>
      </c>
      <c r="H481" s="609">
        <v>40909095</v>
      </c>
      <c r="I481" s="609">
        <v>40909095</v>
      </c>
    </row>
    <row r="482" spans="1:9">
      <c r="A482" s="541">
        <v>520110</v>
      </c>
      <c r="B482" s="541" t="s">
        <v>1872</v>
      </c>
      <c r="C482" s="616"/>
      <c r="D482" s="616"/>
      <c r="E482" s="543"/>
      <c r="F482" s="608" t="s">
        <v>1629</v>
      </c>
      <c r="G482" s="608" t="s">
        <v>1630</v>
      </c>
      <c r="H482" s="609">
        <v>304500384</v>
      </c>
      <c r="I482" s="609">
        <v>304500384</v>
      </c>
    </row>
    <row r="483" spans="1:9">
      <c r="A483" s="541">
        <v>520110015</v>
      </c>
      <c r="B483" s="541" t="s">
        <v>1874</v>
      </c>
      <c r="C483" s="615">
        <v>13636</v>
      </c>
      <c r="D483" s="615">
        <v>13636</v>
      </c>
      <c r="E483" s="543"/>
      <c r="F483" s="608" t="s">
        <v>1631</v>
      </c>
      <c r="G483" s="608" t="s">
        <v>1589</v>
      </c>
      <c r="H483" s="609">
        <v>8926074</v>
      </c>
      <c r="I483" s="609">
        <v>8926074</v>
      </c>
    </row>
    <row r="484" spans="1:9">
      <c r="A484" s="541">
        <v>520110</v>
      </c>
      <c r="B484" s="541" t="s">
        <v>1872</v>
      </c>
      <c r="C484" s="615">
        <v>13636</v>
      </c>
      <c r="D484" s="615">
        <v>13636</v>
      </c>
      <c r="E484" s="543"/>
      <c r="F484" s="608" t="s">
        <v>1876</v>
      </c>
      <c r="G484" s="608" t="s">
        <v>1014</v>
      </c>
      <c r="H484" s="609">
        <v>119852393</v>
      </c>
      <c r="I484" s="609">
        <v>119852393</v>
      </c>
    </row>
    <row r="485" spans="1:9">
      <c r="A485" s="541">
        <v>520111</v>
      </c>
      <c r="B485" s="541" t="s">
        <v>1626</v>
      </c>
      <c r="C485" s="615"/>
      <c r="D485" s="615"/>
      <c r="E485" s="543"/>
      <c r="F485" s="608" t="s">
        <v>1877</v>
      </c>
      <c r="G485" s="608" t="s">
        <v>1015</v>
      </c>
      <c r="H485" s="610">
        <v>1530184</v>
      </c>
      <c r="I485" s="610">
        <v>1530184</v>
      </c>
    </row>
    <row r="486" spans="1:9">
      <c r="A486" s="541">
        <v>520111001</v>
      </c>
      <c r="B486" s="541" t="s">
        <v>1628</v>
      </c>
      <c r="C486" s="615">
        <v>40909095</v>
      </c>
      <c r="D486" s="615">
        <v>40909095</v>
      </c>
      <c r="E486" s="543"/>
      <c r="F486" s="608" t="s">
        <v>1878</v>
      </c>
      <c r="G486" s="608" t="s">
        <v>1016</v>
      </c>
      <c r="H486" s="610">
        <v>60531512</v>
      </c>
      <c r="I486" s="610">
        <v>60531512</v>
      </c>
    </row>
    <row r="487" spans="1:9">
      <c r="A487" s="541">
        <v>520111011</v>
      </c>
      <c r="B487" s="541" t="s">
        <v>1630</v>
      </c>
      <c r="C487" s="615">
        <v>304500384</v>
      </c>
      <c r="D487" s="615">
        <v>304500384</v>
      </c>
      <c r="E487" s="543"/>
      <c r="F487" s="608" t="s">
        <v>1632</v>
      </c>
      <c r="G487" s="608" t="s">
        <v>1633</v>
      </c>
      <c r="H487" s="609">
        <v>553159182</v>
      </c>
      <c r="I487" s="609">
        <v>553159182</v>
      </c>
    </row>
    <row r="488" spans="1:9">
      <c r="A488" s="541">
        <v>520111041</v>
      </c>
      <c r="B488" s="541" t="s">
        <v>1589</v>
      </c>
      <c r="C488" s="615">
        <v>8926074</v>
      </c>
      <c r="D488" s="615">
        <v>8926074</v>
      </c>
      <c r="E488" s="543"/>
      <c r="F488" s="608" t="s">
        <v>1634</v>
      </c>
      <c r="G488" s="608" t="s">
        <v>1635</v>
      </c>
      <c r="H488" s="609">
        <v>496262</v>
      </c>
      <c r="I488" s="609">
        <v>496262</v>
      </c>
    </row>
    <row r="489" spans="1:9">
      <c r="A489" s="541">
        <v>520111051</v>
      </c>
      <c r="B489" s="541" t="s">
        <v>1013</v>
      </c>
      <c r="C489" s="615"/>
      <c r="D489" s="615"/>
      <c r="E489" s="543"/>
      <c r="F489" s="608" t="s">
        <v>1636</v>
      </c>
      <c r="G489" s="608" t="s">
        <v>1637</v>
      </c>
      <c r="H489" s="610">
        <v>695228</v>
      </c>
      <c r="I489" s="610">
        <v>695228</v>
      </c>
    </row>
    <row r="490" spans="1:9">
      <c r="A490" s="541">
        <v>520111061</v>
      </c>
      <c r="B490" s="541" t="s">
        <v>1014</v>
      </c>
      <c r="C490" s="615">
        <v>119852393</v>
      </c>
      <c r="D490" s="615">
        <v>119852393</v>
      </c>
      <c r="E490" s="543"/>
      <c r="F490" s="608" t="s">
        <v>1638</v>
      </c>
      <c r="G490" s="608" t="s">
        <v>1639</v>
      </c>
      <c r="H490" s="609">
        <v>24577019</v>
      </c>
      <c r="I490" s="609">
        <v>24577019</v>
      </c>
    </row>
    <row r="491" spans="1:9">
      <c r="A491" s="541">
        <v>520111067</v>
      </c>
      <c r="B491" s="541" t="s">
        <v>1015</v>
      </c>
      <c r="C491" s="615">
        <v>1530184</v>
      </c>
      <c r="D491" s="615">
        <v>1530184</v>
      </c>
      <c r="E491" s="543"/>
      <c r="F491" s="608" t="s">
        <v>1640</v>
      </c>
      <c r="G491" s="608" t="s">
        <v>1641</v>
      </c>
      <c r="H491" s="609">
        <v>287727</v>
      </c>
      <c r="I491" s="609">
        <v>287727</v>
      </c>
    </row>
    <row r="492" spans="1:9">
      <c r="A492" s="541">
        <v>520111071</v>
      </c>
      <c r="B492" s="541" t="s">
        <v>1016</v>
      </c>
      <c r="C492" s="615">
        <v>60531512</v>
      </c>
      <c r="D492" s="615">
        <v>60531512</v>
      </c>
      <c r="E492" s="543"/>
      <c r="F492" s="608" t="s">
        <v>1642</v>
      </c>
      <c r="G492" s="608" t="s">
        <v>1601</v>
      </c>
      <c r="H492" s="609">
        <v>3537852</v>
      </c>
      <c r="I492" s="609">
        <v>3537852</v>
      </c>
    </row>
    <row r="493" spans="1:9">
      <c r="A493" s="541">
        <v>520111081</v>
      </c>
      <c r="B493" s="541" t="s">
        <v>1633</v>
      </c>
      <c r="C493" s="615">
        <v>553159182</v>
      </c>
      <c r="D493" s="615">
        <v>553159182</v>
      </c>
      <c r="E493" s="543"/>
      <c r="F493" s="608" t="s">
        <v>1643</v>
      </c>
      <c r="G493" s="608" t="s">
        <v>1644</v>
      </c>
      <c r="H493" s="609">
        <v>35441588</v>
      </c>
      <c r="I493" s="609">
        <v>35441588</v>
      </c>
    </row>
    <row r="494" spans="1:9">
      <c r="A494" s="541">
        <v>520111082</v>
      </c>
      <c r="B494" s="541" t="s">
        <v>1635</v>
      </c>
      <c r="C494" s="615">
        <v>496262</v>
      </c>
      <c r="D494" s="615">
        <v>496262</v>
      </c>
      <c r="F494" s="608" t="s">
        <v>1645</v>
      </c>
      <c r="G494" s="608" t="s">
        <v>1646</v>
      </c>
      <c r="H494" s="610">
        <v>28280409</v>
      </c>
      <c r="I494" s="610">
        <v>28280409</v>
      </c>
    </row>
    <row r="495" spans="1:9">
      <c r="A495" s="541">
        <v>520111123</v>
      </c>
      <c r="B495" s="541" t="s">
        <v>1637</v>
      </c>
      <c r="C495" s="615">
        <v>695228</v>
      </c>
      <c r="D495" s="615">
        <v>695228</v>
      </c>
      <c r="F495" s="608" t="s">
        <v>1647</v>
      </c>
      <c r="G495" s="608" t="s">
        <v>1648</v>
      </c>
      <c r="H495" s="610">
        <v>5430000</v>
      </c>
      <c r="I495" s="610">
        <v>5430000</v>
      </c>
    </row>
    <row r="496" spans="1:9">
      <c r="A496" s="541">
        <v>520111124</v>
      </c>
      <c r="B496" s="541" t="s">
        <v>1850</v>
      </c>
      <c r="C496" s="615"/>
      <c r="D496" s="615"/>
      <c r="F496" s="608" t="s">
        <v>1649</v>
      </c>
      <c r="G496" s="608" t="s">
        <v>1650</v>
      </c>
      <c r="H496" s="610">
        <v>168107259</v>
      </c>
      <c r="I496" s="610">
        <v>168107259</v>
      </c>
    </row>
    <row r="497" spans="1:9">
      <c r="A497" s="541">
        <v>520111125</v>
      </c>
      <c r="B497" s="541" t="s">
        <v>1639</v>
      </c>
      <c r="C497" s="615">
        <v>24577019</v>
      </c>
      <c r="D497" s="615">
        <v>24577019</v>
      </c>
      <c r="F497" s="608" t="s">
        <v>1651</v>
      </c>
      <c r="G497" s="608" t="s">
        <v>905</v>
      </c>
      <c r="H497" s="609">
        <v>57046078</v>
      </c>
      <c r="I497" s="609">
        <v>57046078</v>
      </c>
    </row>
    <row r="498" spans="1:9">
      <c r="A498" s="541">
        <v>520111160</v>
      </c>
      <c r="B498" s="541" t="s">
        <v>1641</v>
      </c>
      <c r="C498" s="615">
        <v>287727</v>
      </c>
      <c r="D498" s="615">
        <v>287727</v>
      </c>
      <c r="F498" s="608" t="s">
        <v>1881</v>
      </c>
      <c r="G498" s="608" t="s">
        <v>1882</v>
      </c>
      <c r="H498" s="609">
        <v>363636</v>
      </c>
      <c r="I498" s="609">
        <v>363636</v>
      </c>
    </row>
    <row r="499" spans="1:9">
      <c r="A499" s="541">
        <v>520111181</v>
      </c>
      <c r="B499" s="541" t="s">
        <v>1601</v>
      </c>
      <c r="C499" s="615">
        <v>3537852</v>
      </c>
      <c r="D499" s="615">
        <v>3537852</v>
      </c>
      <c r="F499" s="608" t="s">
        <v>1883</v>
      </c>
      <c r="G499" s="608" t="s">
        <v>1884</v>
      </c>
      <c r="H499" s="609">
        <v>8789155</v>
      </c>
      <c r="I499" s="609">
        <v>8789155</v>
      </c>
    </row>
    <row r="500" spans="1:9">
      <c r="A500" s="541">
        <v>520111182</v>
      </c>
      <c r="B500" s="541" t="s">
        <v>1644</v>
      </c>
      <c r="C500" s="615">
        <v>35441588</v>
      </c>
      <c r="D500" s="615">
        <v>35441588</v>
      </c>
      <c r="F500" s="608" t="s">
        <v>1654</v>
      </c>
      <c r="G500" s="608" t="s">
        <v>901</v>
      </c>
      <c r="H500" s="610">
        <v>80078032</v>
      </c>
      <c r="I500" s="610">
        <v>80078032</v>
      </c>
    </row>
    <row r="501" spans="1:9">
      <c r="A501" s="541">
        <v>520111183</v>
      </c>
      <c r="B501" s="541" t="s">
        <v>1646</v>
      </c>
      <c r="C501" s="615">
        <v>28280409</v>
      </c>
      <c r="D501" s="615">
        <v>28280409</v>
      </c>
      <c r="F501" s="608" t="s">
        <v>1799</v>
      </c>
      <c r="G501" s="608" t="s">
        <v>1800</v>
      </c>
      <c r="H501" s="609">
        <v>7650921</v>
      </c>
      <c r="I501" s="609">
        <v>7650921</v>
      </c>
    </row>
    <row r="502" spans="1:9">
      <c r="A502" s="541">
        <v>520111192</v>
      </c>
      <c r="B502" s="541" t="s">
        <v>1648</v>
      </c>
      <c r="C502" s="615">
        <v>5430000</v>
      </c>
      <c r="D502" s="615">
        <v>5430000</v>
      </c>
      <c r="F502" s="608" t="s">
        <v>1625</v>
      </c>
      <c r="G502" s="608" t="s">
        <v>1626</v>
      </c>
      <c r="H502" s="609">
        <v>1510189990</v>
      </c>
      <c r="I502" s="609">
        <v>1510189990</v>
      </c>
    </row>
    <row r="503" spans="1:9">
      <c r="A503" s="599">
        <v>520111193</v>
      </c>
      <c r="B503" s="599" t="s">
        <v>2026</v>
      </c>
      <c r="C503" s="618"/>
      <c r="D503" s="618"/>
      <c r="F503" s="608"/>
      <c r="G503" s="608"/>
      <c r="H503" s="609"/>
      <c r="I503" s="609"/>
    </row>
    <row r="504" spans="1:9">
      <c r="A504" s="541">
        <v>520111194</v>
      </c>
      <c r="B504" s="541" t="s">
        <v>1880</v>
      </c>
      <c r="C504" s="615"/>
      <c r="D504" s="615"/>
      <c r="F504" s="608"/>
      <c r="G504" s="608"/>
      <c r="H504" s="609"/>
      <c r="I504" s="609"/>
    </row>
    <row r="505" spans="1:9">
      <c r="A505" s="541">
        <v>520111211</v>
      </c>
      <c r="B505" s="541" t="s">
        <v>1650</v>
      </c>
      <c r="C505" s="615">
        <v>168107259</v>
      </c>
      <c r="D505" s="615">
        <v>168107259</v>
      </c>
      <c r="F505" s="608"/>
      <c r="G505" s="608"/>
      <c r="H505" s="609"/>
      <c r="I505" s="609"/>
    </row>
    <row r="506" spans="1:9">
      <c r="A506" s="541">
        <v>520111215</v>
      </c>
      <c r="B506" s="541" t="s">
        <v>905</v>
      </c>
      <c r="C506" s="615">
        <v>57046078</v>
      </c>
      <c r="D506" s="615">
        <v>57046078</v>
      </c>
      <c r="F506" s="608"/>
      <c r="G506" s="608"/>
      <c r="H506" s="609"/>
      <c r="I506" s="609"/>
    </row>
    <row r="507" spans="1:9">
      <c r="A507" s="692" t="s">
        <v>1881</v>
      </c>
      <c r="B507" s="692" t="s">
        <v>1882</v>
      </c>
      <c r="C507" s="693">
        <v>363636</v>
      </c>
      <c r="D507" s="693">
        <v>363636</v>
      </c>
      <c r="F507" s="608"/>
      <c r="G507" s="608"/>
      <c r="H507" s="609"/>
      <c r="I507" s="609"/>
    </row>
    <row r="508" spans="1:9">
      <c r="A508" s="692" t="s">
        <v>1883</v>
      </c>
      <c r="B508" s="692" t="s">
        <v>1884</v>
      </c>
      <c r="C508" s="693">
        <v>8789155</v>
      </c>
      <c r="D508" s="693">
        <v>8789155</v>
      </c>
      <c r="F508" s="608"/>
      <c r="G508" s="608"/>
      <c r="H508" s="609"/>
      <c r="I508" s="609"/>
    </row>
    <row r="509" spans="1:9">
      <c r="A509" s="541">
        <v>520111248</v>
      </c>
      <c r="B509" s="541" t="s">
        <v>1899</v>
      </c>
      <c r="C509" s="615"/>
      <c r="D509" s="615"/>
      <c r="F509" s="608"/>
      <c r="G509" s="608"/>
      <c r="H509" s="609"/>
      <c r="I509" s="609"/>
    </row>
    <row r="510" spans="1:9">
      <c r="A510" s="541">
        <v>520111250</v>
      </c>
      <c r="B510" s="541" t="s">
        <v>901</v>
      </c>
      <c r="C510" s="615">
        <v>80078032</v>
      </c>
      <c r="D510" s="615">
        <v>80078032</v>
      </c>
      <c r="F510" s="608"/>
      <c r="G510" s="608"/>
      <c r="H510" s="609"/>
      <c r="I510" s="609"/>
    </row>
    <row r="511" spans="1:9">
      <c r="A511" s="541">
        <v>520111251</v>
      </c>
      <c r="B511" s="541" t="s">
        <v>1800</v>
      </c>
      <c r="C511" s="615">
        <v>7650921</v>
      </c>
      <c r="D511" s="615">
        <v>7650921</v>
      </c>
      <c r="F511" s="608"/>
      <c r="G511" s="608"/>
      <c r="H511" s="609"/>
      <c r="I511" s="609"/>
    </row>
    <row r="512" spans="1:9">
      <c r="A512" s="541" t="s">
        <v>1625</v>
      </c>
      <c r="B512" s="541" t="s">
        <v>1626</v>
      </c>
      <c r="C512" s="615">
        <v>1510189990</v>
      </c>
      <c r="D512" s="615">
        <v>1510189990</v>
      </c>
      <c r="F512" s="608"/>
      <c r="G512" s="608"/>
      <c r="H512" s="609"/>
      <c r="I512" s="609"/>
    </row>
    <row r="513" spans="1:9">
      <c r="A513" s="541" t="s">
        <v>1655</v>
      </c>
      <c r="B513" s="541" t="s">
        <v>1656</v>
      </c>
      <c r="C513" s="616"/>
      <c r="D513" s="616"/>
      <c r="F513" s="608" t="s">
        <v>1655</v>
      </c>
      <c r="G513" s="608" t="s">
        <v>1656</v>
      </c>
      <c r="H513" s="609"/>
      <c r="I513" s="609"/>
    </row>
    <row r="514" spans="1:9">
      <c r="A514" s="541" t="s">
        <v>1657</v>
      </c>
      <c r="B514" s="541" t="s">
        <v>1658</v>
      </c>
      <c r="C514" s="615"/>
      <c r="D514" s="615"/>
      <c r="F514" s="608" t="s">
        <v>1659</v>
      </c>
      <c r="G514" s="608" t="s">
        <v>1660</v>
      </c>
      <c r="H514" s="609">
        <v>89545</v>
      </c>
      <c r="I514" s="609">
        <v>89545</v>
      </c>
    </row>
    <row r="515" spans="1:9">
      <c r="A515" s="541" t="s">
        <v>1659</v>
      </c>
      <c r="B515" s="541" t="s">
        <v>1660</v>
      </c>
      <c r="C515" s="615">
        <v>89545</v>
      </c>
      <c r="D515" s="615">
        <v>89545</v>
      </c>
      <c r="F515" s="608" t="s">
        <v>1885</v>
      </c>
      <c r="G515" s="608" t="s">
        <v>1886</v>
      </c>
      <c r="H515" s="609">
        <v>2727532</v>
      </c>
      <c r="I515" s="609">
        <v>2727532</v>
      </c>
    </row>
    <row r="516" spans="1:9">
      <c r="A516" s="541">
        <v>520115012</v>
      </c>
      <c r="B516" s="541" t="s">
        <v>1886</v>
      </c>
      <c r="C516" s="615">
        <v>2727532</v>
      </c>
      <c r="D516" s="615">
        <v>2727532</v>
      </c>
      <c r="F516" s="608" t="s">
        <v>1661</v>
      </c>
      <c r="G516" s="608" t="s">
        <v>1624</v>
      </c>
      <c r="H516" s="609">
        <v>10709138</v>
      </c>
      <c r="I516" s="609">
        <v>10709138</v>
      </c>
    </row>
    <row r="517" spans="1:9">
      <c r="A517" s="541" t="s">
        <v>1661</v>
      </c>
      <c r="B517" s="541" t="s">
        <v>1624</v>
      </c>
      <c r="C517" s="615">
        <v>10709138</v>
      </c>
      <c r="D517" s="615">
        <v>10709138</v>
      </c>
      <c r="F517" s="608" t="s">
        <v>1803</v>
      </c>
      <c r="G517" s="608" t="s">
        <v>1804</v>
      </c>
      <c r="H517" s="609">
        <v>20000</v>
      </c>
      <c r="I517" s="609">
        <v>20000</v>
      </c>
    </row>
    <row r="518" spans="1:9">
      <c r="A518" s="541" t="s">
        <v>1801</v>
      </c>
      <c r="B518" s="541" t="s">
        <v>1802</v>
      </c>
      <c r="C518" s="615"/>
      <c r="D518" s="615"/>
      <c r="F518" s="608" t="s">
        <v>1662</v>
      </c>
      <c r="G518" s="608" t="s">
        <v>1663</v>
      </c>
      <c r="H518" s="609">
        <v>2750322</v>
      </c>
      <c r="I518" s="609">
        <v>2750322</v>
      </c>
    </row>
    <row r="519" spans="1:9">
      <c r="A519" s="541" t="s">
        <v>1803</v>
      </c>
      <c r="B519" s="541" t="s">
        <v>1804</v>
      </c>
      <c r="C519" s="615">
        <v>20000</v>
      </c>
      <c r="D519" s="615">
        <v>20000</v>
      </c>
      <c r="F519" s="608" t="s">
        <v>1655</v>
      </c>
      <c r="G519" s="608" t="s">
        <v>1656</v>
      </c>
      <c r="H519" s="610">
        <v>16296537</v>
      </c>
      <c r="I519" s="610">
        <v>16296537</v>
      </c>
    </row>
    <row r="520" spans="1:9">
      <c r="A520" s="541" t="s">
        <v>2037</v>
      </c>
      <c r="B520" s="541" t="s">
        <v>1900</v>
      </c>
      <c r="C520" s="615"/>
      <c r="D520" s="615"/>
      <c r="F520" s="608" t="s">
        <v>1582</v>
      </c>
      <c r="G520" s="608" t="s">
        <v>1583</v>
      </c>
      <c r="H520" s="610">
        <v>2340151506</v>
      </c>
      <c r="I520" s="610">
        <v>2340151506</v>
      </c>
    </row>
    <row r="521" spans="1:9">
      <c r="A521" s="541" t="s">
        <v>1662</v>
      </c>
      <c r="B521" s="541" t="s">
        <v>1663</v>
      </c>
      <c r="C521" s="615">
        <v>2750322</v>
      </c>
      <c r="D521" s="615">
        <v>2750322</v>
      </c>
      <c r="F521" s="608" t="s">
        <v>1664</v>
      </c>
      <c r="G521" s="608" t="s">
        <v>1665</v>
      </c>
      <c r="H521" s="610"/>
      <c r="I521" s="610"/>
    </row>
    <row r="522" spans="1:9">
      <c r="A522" s="541" t="s">
        <v>1655</v>
      </c>
      <c r="B522" s="541" t="s">
        <v>1656</v>
      </c>
      <c r="C522" s="615">
        <v>16296537</v>
      </c>
      <c r="D522" s="615">
        <v>16296537</v>
      </c>
      <c r="F522" s="608" t="s">
        <v>1666</v>
      </c>
      <c r="G522" s="608" t="s">
        <v>1667</v>
      </c>
      <c r="H522" s="610"/>
      <c r="I522" s="610"/>
    </row>
    <row r="523" spans="1:9">
      <c r="A523" s="541" t="s">
        <v>1582</v>
      </c>
      <c r="B523" s="541" t="s">
        <v>1583</v>
      </c>
      <c r="C523" s="615">
        <v>2340151506</v>
      </c>
      <c r="D523" s="615">
        <v>2340151506</v>
      </c>
      <c r="F523" s="608" t="s">
        <v>1805</v>
      </c>
      <c r="G523" s="608" t="s">
        <v>1576</v>
      </c>
      <c r="H523" s="609">
        <v>87050722</v>
      </c>
      <c r="I523" s="609">
        <v>87050722</v>
      </c>
    </row>
    <row r="524" spans="1:9">
      <c r="A524">
        <v>5211</v>
      </c>
      <c r="B524" t="s">
        <v>1665</v>
      </c>
      <c r="C524" s="616"/>
      <c r="D524" s="616"/>
      <c r="F524" s="608" t="s">
        <v>1806</v>
      </c>
      <c r="G524" s="608" t="s">
        <v>1807</v>
      </c>
      <c r="H524" s="609">
        <v>1536982</v>
      </c>
      <c r="I524" s="609">
        <v>1536982</v>
      </c>
    </row>
    <row r="525" spans="1:9">
      <c r="A525" s="541" t="s">
        <v>1666</v>
      </c>
      <c r="B525" s="541" t="s">
        <v>1667</v>
      </c>
      <c r="C525" s="616"/>
      <c r="D525" s="616"/>
      <c r="F525" s="608" t="s">
        <v>1666</v>
      </c>
      <c r="G525" s="608" t="s">
        <v>1667</v>
      </c>
      <c r="H525" s="609">
        <v>88587704</v>
      </c>
      <c r="I525" s="609">
        <v>88587704</v>
      </c>
    </row>
    <row r="526" spans="1:9">
      <c r="A526" s="541" t="s">
        <v>1805</v>
      </c>
      <c r="B526" s="541" t="s">
        <v>1576</v>
      </c>
      <c r="C526" s="615">
        <v>87050722</v>
      </c>
      <c r="D526" s="615">
        <v>87050722</v>
      </c>
      <c r="F526" s="608" t="s">
        <v>1670</v>
      </c>
      <c r="G526" s="608" t="s">
        <v>1671</v>
      </c>
      <c r="H526" s="609"/>
      <c r="I526" s="609"/>
    </row>
    <row r="527" spans="1:9">
      <c r="A527" s="541" t="s">
        <v>1668</v>
      </c>
      <c r="B527" s="541" t="s">
        <v>1669</v>
      </c>
      <c r="C527" s="615"/>
      <c r="D527" s="615"/>
      <c r="F527" s="608" t="s">
        <v>1889</v>
      </c>
      <c r="G527" s="608" t="s">
        <v>1890</v>
      </c>
      <c r="H527" s="609">
        <v>-470000</v>
      </c>
      <c r="I527" s="609">
        <v>-470000</v>
      </c>
    </row>
    <row r="528" spans="1:9">
      <c r="A528" s="541" t="s">
        <v>1806</v>
      </c>
      <c r="B528" s="541" t="s">
        <v>1807</v>
      </c>
      <c r="C528" s="615">
        <v>1536982</v>
      </c>
      <c r="D528" s="615">
        <v>1536982</v>
      </c>
      <c r="F528" s="608" t="s">
        <v>1891</v>
      </c>
      <c r="G528" s="608" t="s">
        <v>1892</v>
      </c>
      <c r="H528" s="609">
        <v>-70000</v>
      </c>
      <c r="I528" s="609">
        <v>-70000</v>
      </c>
    </row>
    <row r="529" spans="1:9">
      <c r="A529" s="541" t="s">
        <v>1887</v>
      </c>
      <c r="B529" s="541" t="s">
        <v>1888</v>
      </c>
      <c r="C529" s="615"/>
      <c r="D529" s="615"/>
      <c r="F529" s="608" t="s">
        <v>1672</v>
      </c>
      <c r="G529" s="608" t="s">
        <v>1017</v>
      </c>
      <c r="H529" s="609">
        <v>4598860</v>
      </c>
      <c r="I529" s="609">
        <v>4598860</v>
      </c>
    </row>
    <row r="530" spans="1:9">
      <c r="A530" s="541" t="s">
        <v>1666</v>
      </c>
      <c r="B530" s="541" t="s">
        <v>1667</v>
      </c>
      <c r="C530" s="615">
        <v>88587704</v>
      </c>
      <c r="D530" s="615">
        <v>88587704</v>
      </c>
      <c r="F530" s="608" t="s">
        <v>1851</v>
      </c>
      <c r="G530" s="608" t="s">
        <v>1017</v>
      </c>
      <c r="H530" s="609">
        <v>23662550</v>
      </c>
      <c r="I530" s="609">
        <v>23662550</v>
      </c>
    </row>
    <row r="531" spans="1:9">
      <c r="A531" s="541" t="s">
        <v>1670</v>
      </c>
      <c r="B531" s="541" t="s">
        <v>1671</v>
      </c>
      <c r="C531" s="616"/>
      <c r="D531" s="616"/>
      <c r="F531" s="608" t="s">
        <v>1670</v>
      </c>
      <c r="G531" s="608" t="s">
        <v>1671</v>
      </c>
      <c r="H531" s="609">
        <v>27721410</v>
      </c>
      <c r="I531" s="609">
        <v>27721410</v>
      </c>
    </row>
    <row r="532" spans="1:9">
      <c r="A532" s="599">
        <v>521110051</v>
      </c>
      <c r="B532" s="599" t="s">
        <v>1890</v>
      </c>
      <c r="C532" s="617">
        <v>-540000</v>
      </c>
      <c r="D532" s="617">
        <v>-540000</v>
      </c>
      <c r="F532" s="608" t="s">
        <v>1673</v>
      </c>
      <c r="G532" s="608" t="s">
        <v>1674</v>
      </c>
      <c r="H532" s="609"/>
      <c r="I532" s="609"/>
    </row>
    <row r="533" spans="1:9">
      <c r="A533" s="541">
        <v>521110063</v>
      </c>
      <c r="B533" s="541" t="s">
        <v>1017</v>
      </c>
      <c r="C533" s="615">
        <v>4598860</v>
      </c>
      <c r="D533" s="615">
        <v>4598860</v>
      </c>
      <c r="F533" s="608" t="s">
        <v>1675</v>
      </c>
      <c r="G533" s="608" t="s">
        <v>1676</v>
      </c>
      <c r="H533" s="609">
        <v>29483192</v>
      </c>
      <c r="I533" s="609">
        <v>29483192</v>
      </c>
    </row>
    <row r="534" spans="1:9">
      <c r="A534" s="541">
        <v>521110064</v>
      </c>
      <c r="B534" s="541" t="s">
        <v>1017</v>
      </c>
      <c r="C534" s="615">
        <v>23662550</v>
      </c>
      <c r="D534" s="615">
        <v>23662550</v>
      </c>
      <c r="F534" s="608" t="s">
        <v>1673</v>
      </c>
      <c r="G534" s="608" t="s">
        <v>1674</v>
      </c>
      <c r="H534" s="609">
        <v>29483192</v>
      </c>
      <c r="I534" s="609">
        <v>29483192</v>
      </c>
    </row>
    <row r="535" spans="1:9">
      <c r="A535" s="541">
        <v>521110</v>
      </c>
      <c r="B535" s="541" t="s">
        <v>1671</v>
      </c>
      <c r="C535" s="615">
        <v>27721410</v>
      </c>
      <c r="D535" s="615">
        <v>27721410</v>
      </c>
      <c r="F535" s="608" t="s">
        <v>1810</v>
      </c>
      <c r="G535" s="608" t="s">
        <v>1811</v>
      </c>
      <c r="H535" s="609"/>
      <c r="I535" s="609"/>
    </row>
    <row r="536" spans="1:9">
      <c r="A536" s="541">
        <v>521121</v>
      </c>
      <c r="B536" s="541" t="s">
        <v>1674</v>
      </c>
      <c r="C536" s="616"/>
      <c r="D536" s="616"/>
      <c r="F536" s="608" t="s">
        <v>1812</v>
      </c>
      <c r="G536" s="608" t="s">
        <v>1813</v>
      </c>
      <c r="H536" s="609">
        <v>272727</v>
      </c>
      <c r="I536" s="609">
        <v>272727</v>
      </c>
    </row>
    <row r="537" spans="1:9">
      <c r="A537" s="541">
        <v>521121021</v>
      </c>
      <c r="B537" s="541" t="s">
        <v>1676</v>
      </c>
      <c r="C537" s="615">
        <v>29483192</v>
      </c>
      <c r="D537" s="615">
        <v>29483192</v>
      </c>
      <c r="F537" s="608" t="s">
        <v>1810</v>
      </c>
      <c r="G537" s="608" t="s">
        <v>1811</v>
      </c>
      <c r="H537" s="609">
        <v>272727</v>
      </c>
      <c r="I537" s="609">
        <v>272727</v>
      </c>
    </row>
    <row r="538" spans="1:9">
      <c r="A538" s="541">
        <v>521121</v>
      </c>
      <c r="B538" s="541" t="s">
        <v>1674</v>
      </c>
      <c r="C538" s="615">
        <v>29483192</v>
      </c>
      <c r="D538" s="615">
        <v>29483192</v>
      </c>
      <c r="F538" s="608" t="s">
        <v>1677</v>
      </c>
      <c r="G538" s="608" t="s">
        <v>1678</v>
      </c>
      <c r="H538" s="609"/>
      <c r="I538" s="609"/>
    </row>
    <row r="539" spans="1:9">
      <c r="A539" s="541" t="s">
        <v>1810</v>
      </c>
      <c r="B539" s="541" t="s">
        <v>1811</v>
      </c>
      <c r="C539" s="616"/>
      <c r="D539" s="616"/>
      <c r="F539" s="608" t="s">
        <v>1679</v>
      </c>
      <c r="G539" s="608" t="s">
        <v>1680</v>
      </c>
      <c r="H539" s="609">
        <v>14416188</v>
      </c>
      <c r="I539" s="609">
        <v>14416188</v>
      </c>
    </row>
    <row r="540" spans="1:9">
      <c r="A540" s="541" t="s">
        <v>1812</v>
      </c>
      <c r="B540" s="541" t="s">
        <v>1813</v>
      </c>
      <c r="C540" s="615">
        <v>272727</v>
      </c>
      <c r="D540" s="615">
        <v>272727</v>
      </c>
      <c r="F540" s="608" t="s">
        <v>1677</v>
      </c>
      <c r="G540" s="608" t="s">
        <v>1678</v>
      </c>
      <c r="H540" s="609">
        <v>14416188</v>
      </c>
      <c r="I540" s="609">
        <v>14416188</v>
      </c>
    </row>
    <row r="541" spans="1:9">
      <c r="A541" s="541" t="s">
        <v>2038</v>
      </c>
      <c r="B541" s="541" t="s">
        <v>2039</v>
      </c>
      <c r="C541" s="615"/>
      <c r="D541" s="615"/>
      <c r="F541" s="608" t="s">
        <v>1664</v>
      </c>
      <c r="G541" s="608" t="s">
        <v>1665</v>
      </c>
      <c r="H541" s="609">
        <v>160481221</v>
      </c>
      <c r="I541" s="609">
        <v>160481221</v>
      </c>
    </row>
    <row r="542" spans="1:9">
      <c r="A542" s="541" t="s">
        <v>1810</v>
      </c>
      <c r="B542" s="541" t="s">
        <v>1811</v>
      </c>
      <c r="C542" s="615">
        <v>272727</v>
      </c>
      <c r="D542" s="615">
        <v>272727</v>
      </c>
      <c r="F542" s="608" t="s">
        <v>1580</v>
      </c>
      <c r="G542" s="608" t="s">
        <v>1581</v>
      </c>
      <c r="H542" s="609">
        <v>2500632727</v>
      </c>
      <c r="I542" s="609">
        <v>2500632727</v>
      </c>
    </row>
    <row r="543" spans="1:9">
      <c r="A543" s="541" t="s">
        <v>2040</v>
      </c>
      <c r="B543" s="541" t="s">
        <v>2041</v>
      </c>
      <c r="C543" s="616"/>
      <c r="D543" s="616"/>
      <c r="F543" s="608" t="s">
        <v>1681</v>
      </c>
      <c r="G543" s="608" t="s">
        <v>1682</v>
      </c>
      <c r="H543" s="609"/>
      <c r="I543" s="609"/>
    </row>
    <row r="544" spans="1:9">
      <c r="A544" s="541" t="s">
        <v>2042</v>
      </c>
      <c r="B544" s="541" t="s">
        <v>2043</v>
      </c>
      <c r="C544" s="615"/>
      <c r="D544" s="615"/>
      <c r="F544" s="608" t="s">
        <v>1683</v>
      </c>
      <c r="G544" s="608" t="s">
        <v>1684</v>
      </c>
      <c r="H544" s="609"/>
      <c r="I544" s="609"/>
    </row>
    <row r="545" spans="1:9">
      <c r="A545" s="541" t="s">
        <v>2040</v>
      </c>
      <c r="B545" s="541" t="s">
        <v>2041</v>
      </c>
      <c r="C545" s="615"/>
      <c r="D545" s="615"/>
      <c r="F545" s="608" t="s">
        <v>1685</v>
      </c>
      <c r="G545" s="608" t="s">
        <v>1686</v>
      </c>
      <c r="H545" s="609"/>
      <c r="I545" s="609"/>
    </row>
    <row r="546" spans="1:9">
      <c r="A546" s="541" t="s">
        <v>1677</v>
      </c>
      <c r="B546" s="541" t="s">
        <v>1678</v>
      </c>
      <c r="C546" s="616"/>
      <c r="D546" s="616"/>
      <c r="F546" s="608" t="s">
        <v>1687</v>
      </c>
      <c r="G546" s="608" t="s">
        <v>1688</v>
      </c>
      <c r="H546" s="609">
        <v>21072312</v>
      </c>
      <c r="I546" s="609">
        <v>21072312</v>
      </c>
    </row>
    <row r="547" spans="1:9">
      <c r="A547" s="541" t="s">
        <v>1679</v>
      </c>
      <c r="B547" s="541" t="s">
        <v>1680</v>
      </c>
      <c r="C547" s="615">
        <v>14416188</v>
      </c>
      <c r="D547" s="615">
        <v>14416188</v>
      </c>
      <c r="F547" s="608" t="s">
        <v>1689</v>
      </c>
      <c r="G547" s="608" t="s">
        <v>1690</v>
      </c>
      <c r="H547" s="610">
        <v>5016650</v>
      </c>
      <c r="I547" s="610">
        <v>5016650</v>
      </c>
    </row>
    <row r="548" spans="1:9">
      <c r="A548" s="541" t="s">
        <v>1677</v>
      </c>
      <c r="B548" s="541" t="s">
        <v>1678</v>
      </c>
      <c r="C548" s="615">
        <v>14416188</v>
      </c>
      <c r="D548" s="615">
        <v>14416188</v>
      </c>
      <c r="F548" s="608" t="s">
        <v>1691</v>
      </c>
      <c r="G548" s="608" t="s">
        <v>1692</v>
      </c>
      <c r="H548" s="609">
        <v>2582140</v>
      </c>
      <c r="I548" s="609">
        <v>2582140</v>
      </c>
    </row>
    <row r="549" spans="1:9">
      <c r="A549" s="541" t="s">
        <v>1664</v>
      </c>
      <c r="B549" s="541" t="s">
        <v>1665</v>
      </c>
      <c r="C549" s="615">
        <v>160481221</v>
      </c>
      <c r="D549" s="615">
        <v>160481221</v>
      </c>
      <c r="F549" s="608" t="s">
        <v>1814</v>
      </c>
      <c r="G549" s="608" t="s">
        <v>1815</v>
      </c>
      <c r="H549" s="609">
        <v>108301122</v>
      </c>
      <c r="I549" s="609">
        <v>108301122</v>
      </c>
    </row>
    <row r="550" spans="1:9">
      <c r="A550" s="541" t="s">
        <v>1580</v>
      </c>
      <c r="B550" s="541" t="s">
        <v>1581</v>
      </c>
      <c r="C550" s="615">
        <v>2500632727</v>
      </c>
      <c r="D550" s="615">
        <v>2500632727</v>
      </c>
      <c r="F550" s="608" t="s">
        <v>1685</v>
      </c>
      <c r="G550" s="608" t="s">
        <v>1686</v>
      </c>
      <c r="H550" s="610">
        <v>136972224</v>
      </c>
      <c r="I550" s="610">
        <v>136972224</v>
      </c>
    </row>
    <row r="551" spans="1:9">
      <c r="A551" s="541" t="s">
        <v>1681</v>
      </c>
      <c r="B551" s="541" t="s">
        <v>1682</v>
      </c>
      <c r="C551" s="616"/>
      <c r="D551" s="616"/>
      <c r="F551" s="608" t="s">
        <v>1683</v>
      </c>
      <c r="G551" s="608" t="s">
        <v>1684</v>
      </c>
      <c r="H551" s="609">
        <v>136972224</v>
      </c>
      <c r="I551" s="609">
        <v>136972224</v>
      </c>
    </row>
    <row r="552" spans="1:9">
      <c r="A552" s="541" t="s">
        <v>1683</v>
      </c>
      <c r="B552" s="541" t="s">
        <v>1684</v>
      </c>
      <c r="C552" s="616"/>
      <c r="D552" s="616"/>
      <c r="F552" s="608" t="s">
        <v>1816</v>
      </c>
      <c r="G552" s="608" t="s">
        <v>1817</v>
      </c>
      <c r="H552" s="609"/>
      <c r="I552" s="609"/>
    </row>
    <row r="553" spans="1:9">
      <c r="A553" s="541" t="s">
        <v>1685</v>
      </c>
      <c r="B553" s="541" t="s">
        <v>1686</v>
      </c>
      <c r="C553" s="616"/>
      <c r="D553" s="616"/>
      <c r="F553" s="608" t="s">
        <v>1818</v>
      </c>
      <c r="G553" s="608" t="s">
        <v>1819</v>
      </c>
      <c r="H553" s="609">
        <v>64082847</v>
      </c>
      <c r="I553" s="609">
        <v>64082847</v>
      </c>
    </row>
    <row r="554" spans="1:9">
      <c r="A554" s="541" t="s">
        <v>1687</v>
      </c>
      <c r="B554" s="541" t="s">
        <v>1688</v>
      </c>
      <c r="C554" s="615">
        <v>21072312</v>
      </c>
      <c r="D554" s="615">
        <v>21072312</v>
      </c>
      <c r="F554" s="608" t="s">
        <v>1820</v>
      </c>
      <c r="G554" s="608" t="s">
        <v>1821</v>
      </c>
      <c r="H554" s="609">
        <v>5730781</v>
      </c>
      <c r="I554" s="609">
        <v>5730781</v>
      </c>
    </row>
    <row r="555" spans="1:9">
      <c r="A555" s="541" t="s">
        <v>1689</v>
      </c>
      <c r="B555" s="541" t="s">
        <v>1690</v>
      </c>
      <c r="C555" s="615">
        <v>5016650</v>
      </c>
      <c r="D555" s="615">
        <v>5016650</v>
      </c>
      <c r="F555" s="608" t="s">
        <v>1816</v>
      </c>
      <c r="G555" s="608" t="s">
        <v>1817</v>
      </c>
      <c r="H555" s="609">
        <v>69813628</v>
      </c>
      <c r="I555" s="609">
        <v>69813628</v>
      </c>
    </row>
    <row r="556" spans="1:9">
      <c r="A556" s="541" t="s">
        <v>1691</v>
      </c>
      <c r="B556" s="541" t="s">
        <v>1692</v>
      </c>
      <c r="C556" s="615">
        <v>2582140</v>
      </c>
      <c r="D556" s="615">
        <v>2582140</v>
      </c>
      <c r="F556" s="608" t="s">
        <v>1695</v>
      </c>
      <c r="G556" s="608" t="s">
        <v>1696</v>
      </c>
      <c r="H556" s="609"/>
      <c r="I556" s="609"/>
    </row>
    <row r="557" spans="1:9">
      <c r="A557" s="541" t="s">
        <v>1693</v>
      </c>
      <c r="B557" s="541" t="s">
        <v>1694</v>
      </c>
      <c r="C557" s="615"/>
      <c r="D557" s="615"/>
      <c r="F557" s="608" t="s">
        <v>1697</v>
      </c>
      <c r="G557" s="608" t="s">
        <v>1698</v>
      </c>
      <c r="H557" s="609">
        <v>83193956</v>
      </c>
      <c r="I557" s="609">
        <v>83193956</v>
      </c>
    </row>
    <row r="558" spans="1:9">
      <c r="A558" s="541" t="s">
        <v>1814</v>
      </c>
      <c r="B558" s="541" t="s">
        <v>1815</v>
      </c>
      <c r="C558" s="615">
        <v>108301122</v>
      </c>
      <c r="D558" s="615">
        <v>108301122</v>
      </c>
      <c r="F558" s="608" t="s">
        <v>2526</v>
      </c>
      <c r="G558" s="608" t="s">
        <v>2527</v>
      </c>
      <c r="H558" s="609">
        <v>4485345</v>
      </c>
      <c r="I558" s="609">
        <v>4485345</v>
      </c>
    </row>
    <row r="559" spans="1:9">
      <c r="A559" s="541" t="s">
        <v>1685</v>
      </c>
      <c r="B559" s="541" t="s">
        <v>1686</v>
      </c>
      <c r="C559" s="615">
        <v>136972224</v>
      </c>
      <c r="D559" s="615">
        <v>136972224</v>
      </c>
      <c r="F559" s="608" t="s">
        <v>2528</v>
      </c>
      <c r="G559" s="608" t="s">
        <v>2529</v>
      </c>
      <c r="H559" s="609">
        <v>6204546</v>
      </c>
      <c r="I559" s="609">
        <v>6204546</v>
      </c>
    </row>
    <row r="560" spans="1:9">
      <c r="A560" s="541" t="s">
        <v>1683</v>
      </c>
      <c r="B560" s="541" t="s">
        <v>1684</v>
      </c>
      <c r="C560" s="615">
        <v>136972224</v>
      </c>
      <c r="D560" s="615">
        <v>136972224</v>
      </c>
      <c r="F560" s="608" t="s">
        <v>1695</v>
      </c>
      <c r="G560" s="608" t="s">
        <v>1696</v>
      </c>
      <c r="H560" s="609">
        <v>93883847</v>
      </c>
      <c r="I560" s="609">
        <v>93883847</v>
      </c>
    </row>
    <row r="561" spans="1:10">
      <c r="A561" s="541" t="s">
        <v>1816</v>
      </c>
      <c r="B561" s="541" t="s">
        <v>1817</v>
      </c>
      <c r="C561" s="616"/>
      <c r="D561" s="616"/>
      <c r="F561" s="608" t="s">
        <v>1681</v>
      </c>
      <c r="G561" s="608" t="s">
        <v>1682</v>
      </c>
      <c r="H561" s="609">
        <v>300669699</v>
      </c>
      <c r="I561" s="609">
        <v>300669699</v>
      </c>
    </row>
    <row r="562" spans="1:10">
      <c r="A562" s="541" t="s">
        <v>1818</v>
      </c>
      <c r="B562" s="541" t="s">
        <v>1819</v>
      </c>
      <c r="C562" s="615">
        <v>64082847</v>
      </c>
      <c r="D562" s="615">
        <v>64082847</v>
      </c>
      <c r="F562" s="608" t="s">
        <v>1699</v>
      </c>
      <c r="G562" s="608" t="s">
        <v>1700</v>
      </c>
      <c r="H562" s="609"/>
      <c r="I562" s="609"/>
    </row>
    <row r="563" spans="1:10">
      <c r="A563" s="541" t="s">
        <v>1820</v>
      </c>
      <c r="B563" s="541" t="s">
        <v>1821</v>
      </c>
      <c r="C563" s="615">
        <v>5730781</v>
      </c>
      <c r="D563" s="615">
        <v>5730781</v>
      </c>
      <c r="F563" s="608" t="s">
        <v>1701</v>
      </c>
      <c r="G563" s="608" t="s">
        <v>1700</v>
      </c>
      <c r="H563" s="609"/>
      <c r="I563" s="609"/>
    </row>
    <row r="564" spans="1:10">
      <c r="A564" s="541" t="s">
        <v>1816</v>
      </c>
      <c r="B564" s="541" t="s">
        <v>1817</v>
      </c>
      <c r="C564" s="615">
        <v>69813628</v>
      </c>
      <c r="D564" s="615">
        <v>69813628</v>
      </c>
      <c r="F564" s="608" t="s">
        <v>1702</v>
      </c>
      <c r="G564" s="608" t="s">
        <v>1703</v>
      </c>
      <c r="H564" s="609"/>
      <c r="I564" s="609"/>
    </row>
    <row r="565" spans="1:10">
      <c r="A565" s="541" t="s">
        <v>1822</v>
      </c>
      <c r="B565" s="541" t="s">
        <v>1823</v>
      </c>
      <c r="C565" s="616"/>
      <c r="D565" s="616"/>
      <c r="F565" s="608" t="s">
        <v>1897</v>
      </c>
      <c r="G565" s="608" t="s">
        <v>1898</v>
      </c>
      <c r="H565" s="609">
        <v>254605632</v>
      </c>
      <c r="I565" s="609">
        <v>254605632</v>
      </c>
      <c r="J565" s="407">
        <f>SUM(H565:H566)</f>
        <v>365359056</v>
      </c>
    </row>
    <row r="566" spans="1:10">
      <c r="A566" s="541" t="s">
        <v>2029</v>
      </c>
      <c r="B566" s="541" t="s">
        <v>1901</v>
      </c>
      <c r="C566" s="615">
        <v>1909224</v>
      </c>
      <c r="D566" s="615">
        <v>1909224</v>
      </c>
      <c r="F566" s="608" t="s">
        <v>1704</v>
      </c>
      <c r="G566" s="608" t="s">
        <v>1705</v>
      </c>
      <c r="H566" s="609">
        <v>110753424</v>
      </c>
      <c r="I566" s="609">
        <v>110753424</v>
      </c>
    </row>
    <row r="567" spans="1:10">
      <c r="A567" s="541" t="s">
        <v>1822</v>
      </c>
      <c r="B567" s="541" t="s">
        <v>1823</v>
      </c>
      <c r="C567" s="615">
        <v>1909224</v>
      </c>
      <c r="D567" s="615">
        <v>1909224</v>
      </c>
      <c r="F567" s="608" t="s">
        <v>1706</v>
      </c>
      <c r="G567" s="608" t="s">
        <v>1707</v>
      </c>
      <c r="H567" s="609">
        <v>4278036</v>
      </c>
      <c r="I567" s="609">
        <v>4278036</v>
      </c>
    </row>
    <row r="568" spans="1:10">
      <c r="A568" s="541" t="s">
        <v>1695</v>
      </c>
      <c r="B568" s="541" t="s">
        <v>1696</v>
      </c>
      <c r="C568" s="616"/>
      <c r="D568" s="616"/>
      <c r="F568" s="608" t="s">
        <v>1702</v>
      </c>
      <c r="G568" s="608" t="s">
        <v>1703</v>
      </c>
      <c r="H568" s="609">
        <v>369637092</v>
      </c>
      <c r="I568" s="609">
        <v>369637092</v>
      </c>
    </row>
    <row r="569" spans="1:10">
      <c r="A569" s="541" t="s">
        <v>1697</v>
      </c>
      <c r="B569" s="541" t="s">
        <v>1698</v>
      </c>
      <c r="C569" s="615">
        <v>93883847</v>
      </c>
      <c r="D569" s="615">
        <v>93883847</v>
      </c>
      <c r="F569" s="608" t="s">
        <v>1708</v>
      </c>
      <c r="G569" s="608" t="s">
        <v>1709</v>
      </c>
      <c r="H569" s="609"/>
      <c r="I569" s="609"/>
    </row>
    <row r="570" spans="1:10">
      <c r="A570" s="541" t="s">
        <v>1695</v>
      </c>
      <c r="B570" s="541" t="s">
        <v>1696</v>
      </c>
      <c r="C570" s="615">
        <v>93883847</v>
      </c>
      <c r="D570" s="615">
        <v>93883847</v>
      </c>
      <c r="F570" s="608" t="s">
        <v>1710</v>
      </c>
      <c r="G570" s="608" t="s">
        <v>1711</v>
      </c>
      <c r="H570" s="609">
        <v>225079135</v>
      </c>
      <c r="I570" s="609">
        <v>225079135</v>
      </c>
    </row>
    <row r="571" spans="1:10">
      <c r="A571" s="541" t="s">
        <v>1681</v>
      </c>
      <c r="B571" s="541" t="s">
        <v>1682</v>
      </c>
      <c r="C571" s="615">
        <v>300669699</v>
      </c>
      <c r="D571" s="615">
        <v>300669699</v>
      </c>
      <c r="F571" s="608" t="s">
        <v>1712</v>
      </c>
      <c r="G571" s="608" t="s">
        <v>1713</v>
      </c>
      <c r="H571" s="609">
        <v>100000</v>
      </c>
      <c r="I571" s="609">
        <v>100000</v>
      </c>
    </row>
    <row r="572" spans="1:10">
      <c r="A572" s="541" t="s">
        <v>1699</v>
      </c>
      <c r="B572" s="541" t="s">
        <v>1700</v>
      </c>
      <c r="C572" s="616"/>
      <c r="D572" s="616"/>
      <c r="F572" s="608" t="s">
        <v>1708</v>
      </c>
      <c r="G572" s="608" t="s">
        <v>1709</v>
      </c>
      <c r="H572" s="609">
        <v>225179135</v>
      </c>
      <c r="I572" s="609">
        <v>225179135</v>
      </c>
    </row>
    <row r="573" spans="1:10">
      <c r="A573" s="541" t="s">
        <v>1701</v>
      </c>
      <c r="B573" s="541" t="s">
        <v>1700</v>
      </c>
      <c r="C573" s="616"/>
      <c r="D573" s="616"/>
      <c r="F573" s="608" t="s">
        <v>1701</v>
      </c>
      <c r="G573" s="608" t="s">
        <v>1700</v>
      </c>
      <c r="H573" s="609">
        <v>594816227</v>
      </c>
      <c r="I573" s="609">
        <v>594816227</v>
      </c>
    </row>
    <row r="574" spans="1:10">
      <c r="A574" s="541" t="s">
        <v>1702</v>
      </c>
      <c r="B574" s="541" t="s">
        <v>1703</v>
      </c>
      <c r="C574" s="616"/>
      <c r="D574" s="616"/>
      <c r="F574" s="608" t="s">
        <v>1699</v>
      </c>
      <c r="G574" s="608" t="s">
        <v>1700</v>
      </c>
      <c r="H574" s="609">
        <v>594816227</v>
      </c>
      <c r="I574" s="609">
        <v>594816227</v>
      </c>
    </row>
    <row r="575" spans="1:10">
      <c r="A575" s="541" t="s">
        <v>1704</v>
      </c>
      <c r="B575" s="541" t="s">
        <v>1705</v>
      </c>
      <c r="C575" s="615">
        <v>365359056</v>
      </c>
      <c r="D575" s="615">
        <v>365359056</v>
      </c>
      <c r="F575" s="608" t="s">
        <v>1578</v>
      </c>
      <c r="G575" s="608" t="s">
        <v>1579</v>
      </c>
      <c r="H575" s="610">
        <v>3396118653</v>
      </c>
      <c r="I575" s="610">
        <v>3396118653</v>
      </c>
    </row>
    <row r="576" spans="1:10">
      <c r="A576" s="541" t="s">
        <v>1706</v>
      </c>
      <c r="B576" s="541" t="s">
        <v>1707</v>
      </c>
      <c r="C576" s="615">
        <v>4278036</v>
      </c>
      <c r="D576" s="615">
        <v>4278036</v>
      </c>
      <c r="F576" s="608" t="s">
        <v>1394</v>
      </c>
      <c r="G576" s="608" t="s">
        <v>1395</v>
      </c>
      <c r="H576" s="609">
        <v>465981099</v>
      </c>
      <c r="I576" s="609">
        <v>465981099</v>
      </c>
    </row>
    <row r="577" spans="1:9">
      <c r="A577" s="541" t="s">
        <v>1702</v>
      </c>
      <c r="B577" s="541" t="s">
        <v>1703</v>
      </c>
      <c r="C577" s="615">
        <v>369637092</v>
      </c>
      <c r="D577" s="615">
        <v>369637092</v>
      </c>
      <c r="F577" s="608" t="s">
        <v>1394</v>
      </c>
      <c r="G577" s="608" t="s">
        <v>1714</v>
      </c>
      <c r="H577" s="609" t="s">
        <v>2530</v>
      </c>
      <c r="I577" s="609" t="s">
        <v>2531</v>
      </c>
    </row>
    <row r="578" spans="1:9">
      <c r="A578" s="541" t="s">
        <v>1708</v>
      </c>
      <c r="B578" s="541" t="s">
        <v>1709</v>
      </c>
      <c r="C578" s="616"/>
      <c r="D578" s="616"/>
      <c r="F578" s="608"/>
      <c r="G578" s="608"/>
      <c r="H578" s="609"/>
      <c r="I578" s="609"/>
    </row>
    <row r="579" spans="1:9">
      <c r="A579" s="541" t="s">
        <v>1710</v>
      </c>
      <c r="B579" s="541" t="s">
        <v>1711</v>
      </c>
      <c r="C579" s="615">
        <v>225079135</v>
      </c>
      <c r="D579" s="615">
        <v>225079135</v>
      </c>
      <c r="F579" s="608"/>
      <c r="G579" s="608"/>
      <c r="H579" s="609"/>
      <c r="I579" s="609"/>
    </row>
    <row r="580" spans="1:9">
      <c r="A580" s="599">
        <v>540111091</v>
      </c>
      <c r="B580" s="599" t="s">
        <v>2078</v>
      </c>
      <c r="C580" s="618"/>
      <c r="D580" s="618"/>
      <c r="F580" s="608"/>
      <c r="G580" s="608"/>
      <c r="H580" s="609"/>
      <c r="I580" s="609"/>
    </row>
    <row r="581" spans="1:9">
      <c r="A581" s="541" t="s">
        <v>1712</v>
      </c>
      <c r="B581" s="541" t="s">
        <v>1713</v>
      </c>
      <c r="C581" s="615">
        <v>100000</v>
      </c>
      <c r="D581" s="615">
        <v>100000</v>
      </c>
      <c r="F581" s="608"/>
      <c r="G581" s="608"/>
      <c r="H581" s="609"/>
      <c r="I581" s="609"/>
    </row>
    <row r="582" spans="1:9">
      <c r="A582" s="541" t="s">
        <v>1708</v>
      </c>
      <c r="B582" s="541" t="s">
        <v>1709</v>
      </c>
      <c r="C582" s="615">
        <v>225179135</v>
      </c>
      <c r="D582" s="615">
        <v>225179135</v>
      </c>
      <c r="F582" s="608"/>
      <c r="G582" s="608"/>
      <c r="H582" s="609"/>
      <c r="I582" s="609"/>
    </row>
    <row r="583" spans="1:9">
      <c r="A583" s="541" t="s">
        <v>1701</v>
      </c>
      <c r="B583" s="541" t="s">
        <v>1700</v>
      </c>
      <c r="C583" s="615">
        <v>594816227</v>
      </c>
      <c r="D583" s="615">
        <v>594816227</v>
      </c>
      <c r="F583" s="608"/>
      <c r="G583" s="608"/>
      <c r="H583" s="609"/>
      <c r="I583" s="609"/>
    </row>
    <row r="584" spans="1:9">
      <c r="A584" s="541" t="s">
        <v>1699</v>
      </c>
      <c r="B584" s="541" t="s">
        <v>1700</v>
      </c>
      <c r="C584" s="615">
        <v>594816227</v>
      </c>
      <c r="D584" s="615">
        <v>594816227</v>
      </c>
      <c r="F584" s="608"/>
      <c r="G584" s="608"/>
      <c r="H584" s="609"/>
      <c r="I584" s="609"/>
    </row>
    <row r="585" spans="1:9">
      <c r="A585" s="541">
        <v>55</v>
      </c>
      <c r="B585" s="541" t="s">
        <v>2060</v>
      </c>
      <c r="C585" s="615"/>
      <c r="D585" s="615"/>
      <c r="F585" s="608"/>
      <c r="G585" s="608"/>
      <c r="H585" s="610"/>
      <c r="I585" s="610"/>
    </row>
    <row r="586" spans="1:9">
      <c r="A586" s="541">
        <v>5501</v>
      </c>
      <c r="B586" s="541" t="s">
        <v>2060</v>
      </c>
      <c r="C586" s="615"/>
      <c r="D586" s="615"/>
      <c r="F586" s="608"/>
      <c r="G586" s="608"/>
      <c r="H586" s="610"/>
      <c r="I586" s="610"/>
    </row>
    <row r="587" spans="1:9">
      <c r="A587" s="541">
        <v>550101</v>
      </c>
      <c r="B587" s="541" t="s">
        <v>2061</v>
      </c>
      <c r="C587" s="615"/>
      <c r="D587" s="615"/>
      <c r="F587" s="608"/>
      <c r="G587" s="608"/>
      <c r="H587" s="609"/>
      <c r="I587" s="609"/>
    </row>
    <row r="588" spans="1:9">
      <c r="A588">
        <v>550101001</v>
      </c>
      <c r="B588" t="s">
        <v>1088</v>
      </c>
      <c r="C588" s="617"/>
      <c r="D588" s="616"/>
      <c r="F588" s="608"/>
      <c r="G588" s="608"/>
      <c r="H588" s="609"/>
      <c r="I588" s="609"/>
    </row>
    <row r="589" spans="1:9">
      <c r="A589">
        <v>550101</v>
      </c>
      <c r="B589" t="s">
        <v>2061</v>
      </c>
      <c r="C589" s="616"/>
      <c r="D589" s="616"/>
      <c r="F589" s="608"/>
      <c r="G589" s="608"/>
      <c r="H589" s="609"/>
      <c r="I589" s="609"/>
    </row>
    <row r="590" spans="1:9">
      <c r="A590">
        <v>5501</v>
      </c>
      <c r="B590" t="s">
        <v>2060</v>
      </c>
      <c r="C590" s="616"/>
      <c r="D590" s="616"/>
      <c r="F590" s="608"/>
      <c r="G590" s="608"/>
      <c r="H590" s="609"/>
      <c r="I590" s="609"/>
    </row>
    <row r="591" spans="1:9">
      <c r="A591">
        <v>55</v>
      </c>
      <c r="B591" t="s">
        <v>2060</v>
      </c>
      <c r="C591" s="616"/>
      <c r="D591" s="616"/>
      <c r="F591" s="608"/>
      <c r="G591" s="608"/>
      <c r="H591" s="609"/>
      <c r="I591" s="609"/>
    </row>
    <row r="592" spans="1:9">
      <c r="A592" t="s">
        <v>1578</v>
      </c>
      <c r="B592" t="s">
        <v>1579</v>
      </c>
      <c r="C592" s="616">
        <v>3396118653</v>
      </c>
      <c r="D592" s="616">
        <v>3396118653</v>
      </c>
      <c r="F592" s="608"/>
      <c r="G592" s="608"/>
      <c r="H592" s="610"/>
      <c r="I592" s="610"/>
    </row>
    <row r="593" spans="1:9">
      <c r="A593" t="s">
        <v>1394</v>
      </c>
      <c r="B593" t="s">
        <v>1395</v>
      </c>
      <c r="C593" s="616">
        <v>465981099</v>
      </c>
      <c r="D593" s="616">
        <v>465981099</v>
      </c>
      <c r="F593" s="608"/>
      <c r="G593" s="608"/>
      <c r="H593" s="609"/>
      <c r="I593" s="609"/>
    </row>
    <row r="594" spans="1:9">
      <c r="A594" t="s">
        <v>1394</v>
      </c>
      <c r="B594" t="s">
        <v>1714</v>
      </c>
      <c r="C594" s="616" t="s">
        <v>2530</v>
      </c>
      <c r="D594" s="616" t="s">
        <v>2531</v>
      </c>
      <c r="F594" s="608"/>
      <c r="G594" s="608"/>
      <c r="H594" s="609"/>
      <c r="I594" s="609"/>
    </row>
    <row r="595" spans="1:9">
      <c r="C595" s="616"/>
      <c r="D595" s="616"/>
      <c r="F595" s="608"/>
      <c r="G595" s="608"/>
      <c r="H595" s="609"/>
      <c r="I595" s="609"/>
    </row>
    <row r="596" spans="1:9">
      <c r="C596" s="616"/>
      <c r="D596" s="616"/>
      <c r="F596" s="608"/>
      <c r="G596" s="608"/>
      <c r="H596" s="610"/>
      <c r="I596" s="610"/>
    </row>
    <row r="597" spans="1:9">
      <c r="C597" s="616"/>
      <c r="D597" s="616"/>
      <c r="F597" s="608"/>
      <c r="G597" s="608"/>
      <c r="H597" s="609"/>
      <c r="I597" s="609"/>
    </row>
    <row r="598" spans="1:9">
      <c r="C598" s="616"/>
      <c r="D598" s="616"/>
      <c r="F598" s="608"/>
      <c r="G598" s="608"/>
      <c r="H598" s="609"/>
      <c r="I598" s="609"/>
    </row>
    <row r="599" spans="1:9">
      <c r="C599" s="616"/>
      <c r="D599" s="616"/>
      <c r="F599" s="608"/>
      <c r="G599" s="608"/>
      <c r="H599" s="610"/>
      <c r="I599" s="610"/>
    </row>
    <row r="600" spans="1:9">
      <c r="C600" s="616"/>
      <c r="D600" s="616"/>
      <c r="F600" s="608"/>
      <c r="G600" s="608"/>
      <c r="H600" s="609"/>
      <c r="I600" s="609"/>
    </row>
    <row r="601" spans="1:9">
      <c r="C601" s="616"/>
      <c r="D601" s="616"/>
      <c r="F601" s="608"/>
      <c r="G601" s="608"/>
      <c r="H601" s="609"/>
      <c r="I601" s="609"/>
    </row>
    <row r="602" spans="1:9">
      <c r="C602" s="616"/>
      <c r="D602" s="616"/>
      <c r="F602" s="608"/>
      <c r="G602" s="608"/>
      <c r="H602" s="609"/>
      <c r="I602" s="609"/>
    </row>
    <row r="603" spans="1:9">
      <c r="C603" s="616"/>
      <c r="D603" s="616"/>
      <c r="F603" s="608"/>
      <c r="G603" s="608"/>
      <c r="H603" s="610"/>
      <c r="I603" s="610"/>
    </row>
    <row r="604" spans="1:9">
      <c r="C604" s="616"/>
      <c r="D604" s="616"/>
      <c r="F604" s="608"/>
      <c r="G604" s="608"/>
      <c r="H604" s="609"/>
      <c r="I604" s="609"/>
    </row>
    <row r="605" spans="1:9">
      <c r="C605" s="616"/>
      <c r="D605" s="616"/>
      <c r="F605" s="608"/>
      <c r="G605" s="608"/>
      <c r="H605" s="609"/>
      <c r="I605" s="609"/>
    </row>
    <row r="606" spans="1:9">
      <c r="C606" s="616"/>
      <c r="D606" s="616"/>
      <c r="F606" s="608"/>
      <c r="G606" s="608"/>
      <c r="H606" s="610"/>
      <c r="I606" s="610"/>
    </row>
    <row r="607" spans="1:9">
      <c r="C607" s="616"/>
      <c r="D607" s="616"/>
      <c r="F607" s="608"/>
      <c r="G607" s="608"/>
      <c r="H607" s="609"/>
      <c r="I607" s="609"/>
    </row>
    <row r="608" spans="1:9">
      <c r="C608" s="616"/>
      <c r="D608" s="616"/>
      <c r="F608" s="608"/>
      <c r="G608" s="608"/>
      <c r="H608" s="609"/>
      <c r="I608" s="609"/>
    </row>
    <row r="609" spans="6:9">
      <c r="F609" s="608"/>
      <c r="G609" s="608"/>
      <c r="H609" s="609"/>
      <c r="I609" s="609"/>
    </row>
    <row r="610" spans="6:9">
      <c r="F610" s="608"/>
      <c r="G610" s="608"/>
      <c r="H610" s="609"/>
      <c r="I610" s="609"/>
    </row>
    <row r="611" spans="6:9">
      <c r="F611" s="608"/>
      <c r="G611" s="608"/>
      <c r="H611" s="610"/>
      <c r="I611" s="610"/>
    </row>
    <row r="612" spans="6:9">
      <c r="F612" s="608"/>
      <c r="G612" s="608"/>
      <c r="H612" s="610"/>
      <c r="I612" s="610"/>
    </row>
    <row r="613" spans="6:9">
      <c r="F613" s="608"/>
      <c r="G613" s="608"/>
      <c r="H613" s="610"/>
      <c r="I613" s="610"/>
    </row>
    <row r="614" spans="6:9">
      <c r="F614" s="608"/>
      <c r="G614" s="608"/>
      <c r="H614" s="609"/>
      <c r="I614" s="609"/>
    </row>
    <row r="615" spans="6:9">
      <c r="F615" s="608"/>
      <c r="G615" s="608"/>
      <c r="H615" s="609"/>
      <c r="I615" s="609"/>
    </row>
    <row r="616" spans="6:9">
      <c r="F616" s="608"/>
      <c r="G616" s="608"/>
      <c r="H616" s="609"/>
      <c r="I616" s="609"/>
    </row>
    <row r="617" spans="6:9">
      <c r="F617" s="608"/>
      <c r="G617" s="608"/>
      <c r="H617" s="609"/>
      <c r="I617" s="609"/>
    </row>
    <row r="618" spans="6:9">
      <c r="F618" s="608"/>
      <c r="G618" s="608"/>
      <c r="H618" s="609"/>
      <c r="I618" s="609"/>
    </row>
    <row r="619" spans="6:9">
      <c r="F619" s="608"/>
      <c r="G619" s="608"/>
      <c r="H619" s="609"/>
      <c r="I619" s="609"/>
    </row>
    <row r="620" spans="6:9">
      <c r="F620" s="608"/>
      <c r="G620" s="608"/>
      <c r="H620" s="609"/>
      <c r="I620" s="609"/>
    </row>
    <row r="621" spans="6:9">
      <c r="F621" s="608"/>
      <c r="G621" s="608"/>
      <c r="H621" s="610"/>
      <c r="I621" s="610"/>
    </row>
    <row r="622" spans="6:9">
      <c r="F622" s="608"/>
      <c r="G622" s="608"/>
      <c r="H622" s="609"/>
      <c r="I622" s="609"/>
    </row>
    <row r="623" spans="6:9">
      <c r="F623" s="608"/>
      <c r="G623" s="608"/>
      <c r="H623" s="609"/>
      <c r="I623" s="609"/>
    </row>
    <row r="624" spans="6:9">
      <c r="F624" s="608"/>
      <c r="G624" s="608"/>
      <c r="H624" s="609"/>
      <c r="I624" s="609"/>
    </row>
    <row r="625" spans="6:9">
      <c r="F625" s="608"/>
      <c r="G625" s="608"/>
      <c r="H625" s="610"/>
      <c r="I625" s="610"/>
    </row>
    <row r="626" spans="6:9">
      <c r="F626" s="608"/>
      <c r="G626" s="608"/>
      <c r="H626" s="609"/>
      <c r="I626" s="609"/>
    </row>
    <row r="627" spans="6:9">
      <c r="F627" s="608"/>
      <c r="G627" s="608"/>
      <c r="H627" s="609"/>
      <c r="I627" s="609"/>
    </row>
    <row r="628" spans="6:9">
      <c r="F628" s="608"/>
      <c r="G628" s="608"/>
      <c r="H628" s="610"/>
      <c r="I628" s="610"/>
    </row>
    <row r="629" spans="6:9">
      <c r="F629" s="608"/>
      <c r="G629" s="608"/>
      <c r="H629" s="609"/>
      <c r="I629" s="609"/>
    </row>
    <row r="630" spans="6:9">
      <c r="F630" s="608"/>
      <c r="G630" s="608"/>
      <c r="H630" s="609"/>
      <c r="I630" s="609"/>
    </row>
    <row r="631" spans="6:9">
      <c r="F631" s="608"/>
      <c r="G631" s="608"/>
      <c r="H631" s="609"/>
      <c r="I631" s="609"/>
    </row>
    <row r="632" spans="6:9">
      <c r="F632" s="608"/>
      <c r="G632" s="608"/>
      <c r="H632" s="610"/>
      <c r="I632" s="610"/>
    </row>
    <row r="633" spans="6:9">
      <c r="F633" s="608"/>
      <c r="G633" s="608"/>
    </row>
    <row r="634" spans="6:9">
      <c r="F634" s="608"/>
      <c r="G634" s="608"/>
    </row>
    <row r="635" spans="6:9">
      <c r="F635" s="608"/>
      <c r="G635" s="608"/>
      <c r="H635" s="612"/>
      <c r="I635" s="612"/>
    </row>
    <row r="636" spans="6:9">
      <c r="F636" s="608"/>
      <c r="G636" s="608"/>
      <c r="H636" s="612"/>
      <c r="I636" s="612"/>
    </row>
    <row r="637" spans="6:9">
      <c r="F637" s="608"/>
      <c r="G637" s="608"/>
      <c r="H637" s="612"/>
      <c r="I637" s="612"/>
    </row>
    <row r="638" spans="6:9">
      <c r="F638" s="608"/>
      <c r="G638" s="608"/>
    </row>
    <row r="639" spans="6:9">
      <c r="F639" s="608"/>
      <c r="G639" s="608"/>
      <c r="H639" s="612"/>
      <c r="I639" s="612"/>
    </row>
    <row r="640" spans="6:9">
      <c r="F640" s="608"/>
      <c r="G640" s="608"/>
      <c r="H640" s="612"/>
      <c r="I640" s="612"/>
    </row>
    <row r="641" spans="6:9">
      <c r="F641" s="608"/>
      <c r="G641" s="608"/>
      <c r="H641" s="612"/>
      <c r="I641" s="612"/>
    </row>
    <row r="642" spans="6:9">
      <c r="F642" s="608"/>
      <c r="G642" s="608"/>
      <c r="H642" s="612"/>
      <c r="I642" s="612"/>
    </row>
    <row r="643" spans="6:9">
      <c r="F643" s="608"/>
      <c r="G643" s="608"/>
      <c r="H643" s="612"/>
      <c r="I643" s="612"/>
    </row>
    <row r="644" spans="6:9">
      <c r="F644" s="608"/>
      <c r="G644" s="608"/>
      <c r="H644" s="612"/>
      <c r="I644" s="612"/>
    </row>
    <row r="645" spans="6:9">
      <c r="F645" s="608"/>
      <c r="G645" s="608"/>
      <c r="H645" s="612"/>
      <c r="I645" s="612"/>
    </row>
    <row r="646" spans="6:9">
      <c r="F646" s="608"/>
      <c r="G646" s="608"/>
      <c r="H646" s="612"/>
      <c r="I646" s="612"/>
    </row>
  </sheetData>
  <pageMargins left="0.7" right="0.7" top="0.75" bottom="0.75" header="0.3" footer="0.3"/>
  <pageSetup paperSize="30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79"/>
  <sheetViews>
    <sheetView topLeftCell="A181" workbookViewId="0">
      <selection activeCell="C58" sqref="C58"/>
    </sheetView>
  </sheetViews>
  <sheetFormatPr baseColWidth="10" defaultRowHeight="15"/>
  <cols>
    <col min="1" max="1" width="8.7109375" style="545" bestFit="1" customWidth="1"/>
    <col min="2" max="2" width="24.85546875" style="545" bestFit="1" customWidth="1"/>
    <col min="3" max="3" width="15.7109375" style="543" bestFit="1" customWidth="1"/>
    <col min="4" max="4" width="11.7109375" bestFit="1" customWidth="1"/>
    <col min="5" max="5" width="13.7109375" bestFit="1" customWidth="1"/>
    <col min="6" max="6" width="6.42578125" bestFit="1" customWidth="1"/>
    <col min="7" max="7" width="8.7109375" style="545" bestFit="1" customWidth="1"/>
    <col min="8" max="8" width="24.85546875" style="545" bestFit="1" customWidth="1"/>
    <col min="9" max="9" width="15.7109375" style="502" bestFit="1" customWidth="1"/>
    <col min="10" max="10" width="11.140625" bestFit="1" customWidth="1"/>
  </cols>
  <sheetData>
    <row r="1" spans="1:11">
      <c r="A1" s="541" t="s">
        <v>1168</v>
      </c>
      <c r="B1" s="541" t="s">
        <v>1169</v>
      </c>
      <c r="C1" s="556" t="s">
        <v>1170</v>
      </c>
      <c r="D1" s="541"/>
      <c r="E1" s="541" t="s">
        <v>1172</v>
      </c>
      <c r="F1" s="541" t="s">
        <v>1173</v>
      </c>
      <c r="G1" s="541" t="s">
        <v>1168</v>
      </c>
      <c r="H1" s="541" t="s">
        <v>1169</v>
      </c>
      <c r="I1" s="574" t="s">
        <v>2492</v>
      </c>
      <c r="J1" s="541" t="s">
        <v>2493</v>
      </c>
      <c r="K1" t="s">
        <v>2532</v>
      </c>
    </row>
    <row r="2" spans="1:11">
      <c r="A2" s="541" t="s">
        <v>1174</v>
      </c>
      <c r="B2" s="541" t="s">
        <v>484</v>
      </c>
      <c r="G2" s="541" t="s">
        <v>1174</v>
      </c>
      <c r="H2" s="541" t="s">
        <v>484</v>
      </c>
    </row>
    <row r="3" spans="1:11">
      <c r="A3" s="541" t="s">
        <v>1175</v>
      </c>
      <c r="B3" s="541" t="s">
        <v>1176</v>
      </c>
      <c r="G3" s="541" t="s">
        <v>1175</v>
      </c>
      <c r="H3" s="541" t="s">
        <v>1176</v>
      </c>
    </row>
    <row r="4" spans="1:11">
      <c r="A4" s="541" t="s">
        <v>1177</v>
      </c>
      <c r="B4" s="541" t="s">
        <v>1178</v>
      </c>
      <c r="G4" s="541" t="s">
        <v>1177</v>
      </c>
      <c r="H4" s="541" t="s">
        <v>1178</v>
      </c>
    </row>
    <row r="5" spans="1:11">
      <c r="A5" s="541" t="s">
        <v>1179</v>
      </c>
      <c r="B5" s="541" t="s">
        <v>1180</v>
      </c>
      <c r="G5" s="541" t="s">
        <v>1179</v>
      </c>
      <c r="H5" s="541" t="s">
        <v>1180</v>
      </c>
    </row>
    <row r="6" spans="1:11">
      <c r="A6" s="541">
        <v>110101001</v>
      </c>
      <c r="B6" s="541" t="s">
        <v>1182</v>
      </c>
      <c r="C6" s="574">
        <v>4572500</v>
      </c>
      <c r="D6" s="544"/>
      <c r="G6" s="541" t="s">
        <v>1181</v>
      </c>
      <c r="H6" s="541" t="s">
        <v>1182</v>
      </c>
      <c r="I6" s="574">
        <v>4572500</v>
      </c>
      <c r="J6" s="644">
        <v>4572500</v>
      </c>
    </row>
    <row r="7" spans="1:11">
      <c r="A7" s="541">
        <v>110101002</v>
      </c>
      <c r="B7" s="541" t="s">
        <v>1184</v>
      </c>
      <c r="C7" s="574">
        <v>200000</v>
      </c>
      <c r="D7" s="544"/>
      <c r="G7" s="541" t="s">
        <v>1183</v>
      </c>
      <c r="H7" s="541" t="s">
        <v>1184</v>
      </c>
      <c r="I7" s="574">
        <v>200000</v>
      </c>
      <c r="J7" s="644">
        <v>200000</v>
      </c>
    </row>
    <row r="8" spans="1:11">
      <c r="A8" s="541"/>
      <c r="B8" s="541"/>
      <c r="C8" s="574">
        <v>10780080</v>
      </c>
      <c r="D8" s="544"/>
      <c r="G8" s="541" t="s">
        <v>1825</v>
      </c>
      <c r="H8" s="541" t="s">
        <v>942</v>
      </c>
      <c r="I8" s="574">
        <v>10780080</v>
      </c>
      <c r="J8" s="644">
        <v>10780080</v>
      </c>
    </row>
    <row r="9" spans="1:11">
      <c r="A9" s="541">
        <v>110101010</v>
      </c>
      <c r="B9" s="541" t="s">
        <v>1186</v>
      </c>
      <c r="C9" s="574">
        <v>1000000</v>
      </c>
      <c r="D9" s="544"/>
      <c r="G9" s="541" t="s">
        <v>1185</v>
      </c>
      <c r="H9" s="541" t="s">
        <v>1186</v>
      </c>
      <c r="I9" s="574">
        <v>1000000</v>
      </c>
      <c r="J9" s="644">
        <v>1000000</v>
      </c>
    </row>
    <row r="10" spans="1:11">
      <c r="A10" s="541">
        <v>110101028</v>
      </c>
      <c r="B10" s="541" t="s">
        <v>1188</v>
      </c>
      <c r="C10" s="574">
        <v>72749670</v>
      </c>
      <c r="D10" s="544"/>
      <c r="G10" s="541" t="s">
        <v>1187</v>
      </c>
      <c r="H10" s="541" t="s">
        <v>1188</v>
      </c>
      <c r="I10" s="574">
        <v>72749670</v>
      </c>
      <c r="J10" s="644">
        <v>72749670</v>
      </c>
    </row>
    <row r="11" spans="1:11">
      <c r="A11" s="541">
        <v>110101029</v>
      </c>
      <c r="B11" s="541" t="s">
        <v>1726</v>
      </c>
      <c r="C11" s="574">
        <v>8395771</v>
      </c>
      <c r="D11" s="544"/>
      <c r="G11" s="541" t="s">
        <v>1725</v>
      </c>
      <c r="H11" s="541" t="s">
        <v>1726</v>
      </c>
      <c r="I11" s="574">
        <v>8395771</v>
      </c>
      <c r="J11" s="644">
        <v>8395771</v>
      </c>
    </row>
    <row r="12" spans="1:11">
      <c r="A12" s="541" t="s">
        <v>1179</v>
      </c>
      <c r="B12" s="541" t="s">
        <v>1180</v>
      </c>
      <c r="C12" s="641">
        <v>97698021</v>
      </c>
      <c r="D12" s="544"/>
      <c r="G12" s="541" t="s">
        <v>1179</v>
      </c>
      <c r="H12" s="541" t="s">
        <v>1180</v>
      </c>
      <c r="I12" s="502">
        <v>97698021</v>
      </c>
      <c r="J12" s="644">
        <v>97698021</v>
      </c>
    </row>
    <row r="13" spans="1:11">
      <c r="A13" s="541" t="s">
        <v>1189</v>
      </c>
      <c r="B13" s="541" t="s">
        <v>1190</v>
      </c>
      <c r="C13" s="502"/>
      <c r="D13" s="544"/>
      <c r="G13" s="541" t="s">
        <v>1189</v>
      </c>
      <c r="H13" s="541" t="s">
        <v>1190</v>
      </c>
      <c r="I13" s="574"/>
      <c r="J13" s="544"/>
    </row>
    <row r="14" spans="1:11">
      <c r="A14" s="541">
        <v>110111001</v>
      </c>
      <c r="B14" s="541" t="s">
        <v>1191</v>
      </c>
      <c r="C14" s="574">
        <v>583939076</v>
      </c>
      <c r="D14" s="544"/>
      <c r="G14" s="541" t="s">
        <v>2494</v>
      </c>
      <c r="H14" s="541" t="s">
        <v>1191</v>
      </c>
      <c r="I14" s="574">
        <v>583939076</v>
      </c>
      <c r="J14" s="644">
        <v>583939076</v>
      </c>
    </row>
    <row r="15" spans="1:11">
      <c r="A15" s="541">
        <v>110111002</v>
      </c>
      <c r="B15" s="541" t="s">
        <v>1192</v>
      </c>
      <c r="C15" s="574">
        <v>158509037</v>
      </c>
      <c r="D15" s="544"/>
      <c r="G15" s="541" t="s">
        <v>2495</v>
      </c>
      <c r="H15" s="541" t="s">
        <v>1192</v>
      </c>
      <c r="I15" s="574">
        <v>158509037</v>
      </c>
      <c r="J15" s="644">
        <v>158509037</v>
      </c>
    </row>
    <row r="16" spans="1:11">
      <c r="A16" s="541">
        <v>110111003</v>
      </c>
      <c r="B16" s="541" t="s">
        <v>1193</v>
      </c>
      <c r="C16" s="574">
        <v>194092784</v>
      </c>
      <c r="D16" s="544"/>
      <c r="G16" s="541" t="s">
        <v>2496</v>
      </c>
      <c r="H16" s="541" t="s">
        <v>1193</v>
      </c>
      <c r="I16" s="574">
        <v>194092784</v>
      </c>
      <c r="J16" s="644">
        <v>194092784</v>
      </c>
    </row>
    <row r="17" spans="1:10">
      <c r="A17" s="541">
        <v>110111004</v>
      </c>
      <c r="B17" s="541" t="s">
        <v>1727</v>
      </c>
      <c r="C17" s="574">
        <v>69812181</v>
      </c>
      <c r="D17" s="544"/>
      <c r="G17" s="541" t="s">
        <v>2497</v>
      </c>
      <c r="H17" s="541" t="s">
        <v>1727</v>
      </c>
      <c r="I17" s="574">
        <v>69812181</v>
      </c>
      <c r="J17" s="644">
        <v>69812181</v>
      </c>
    </row>
    <row r="18" spans="1:10">
      <c r="A18" s="541">
        <v>110111006</v>
      </c>
      <c r="B18" s="541" t="s">
        <v>1728</v>
      </c>
      <c r="C18" s="574">
        <v>57153136</v>
      </c>
      <c r="D18" s="544"/>
      <c r="G18" s="541" t="s">
        <v>2498</v>
      </c>
      <c r="H18" s="541" t="s">
        <v>1728</v>
      </c>
      <c r="I18" s="574">
        <v>57153136</v>
      </c>
      <c r="J18" s="644">
        <v>57153136</v>
      </c>
    </row>
    <row r="19" spans="1:10">
      <c r="A19" s="541">
        <v>110111007</v>
      </c>
      <c r="B19" s="541" t="s">
        <v>1729</v>
      </c>
      <c r="C19" s="574">
        <v>38881708</v>
      </c>
      <c r="D19" s="544"/>
      <c r="G19" s="541" t="s">
        <v>2499</v>
      </c>
      <c r="H19" s="541" t="s">
        <v>1729</v>
      </c>
      <c r="I19" s="574">
        <v>38881708</v>
      </c>
      <c r="J19" s="644">
        <v>38881708</v>
      </c>
    </row>
    <row r="20" spans="1:10">
      <c r="A20" s="541">
        <v>110111008</v>
      </c>
      <c r="B20" s="541" t="s">
        <v>1730</v>
      </c>
      <c r="C20" s="574">
        <v>66910126</v>
      </c>
      <c r="D20" s="544"/>
      <c r="G20" s="541" t="s">
        <v>2533</v>
      </c>
      <c r="H20" s="541" t="s">
        <v>1730</v>
      </c>
      <c r="I20" s="574">
        <v>66910126</v>
      </c>
      <c r="J20" s="644">
        <v>66910126</v>
      </c>
    </row>
    <row r="21" spans="1:10">
      <c r="A21" s="541">
        <v>110111009</v>
      </c>
      <c r="B21" s="541" t="s">
        <v>1731</v>
      </c>
      <c r="C21" s="574">
        <v>43678944</v>
      </c>
      <c r="D21" s="544"/>
      <c r="G21" s="541" t="s">
        <v>2500</v>
      </c>
      <c r="H21" s="541" t="s">
        <v>1731</v>
      </c>
      <c r="I21" s="574">
        <v>43678944</v>
      </c>
      <c r="J21" s="644">
        <v>43678944</v>
      </c>
    </row>
    <row r="22" spans="1:10">
      <c r="A22" s="541">
        <v>110111010</v>
      </c>
      <c r="B22" s="541" t="s">
        <v>1732</v>
      </c>
      <c r="C22" s="574">
        <v>107030994</v>
      </c>
      <c r="D22" s="544"/>
      <c r="G22" s="541" t="s">
        <v>2534</v>
      </c>
      <c r="H22" s="541" t="s">
        <v>1732</v>
      </c>
      <c r="I22" s="574">
        <v>107030994</v>
      </c>
      <c r="J22" s="644">
        <v>107030994</v>
      </c>
    </row>
    <row r="23" spans="1:10">
      <c r="A23" s="541">
        <v>110111011</v>
      </c>
      <c r="B23" s="541" t="s">
        <v>1733</v>
      </c>
      <c r="C23" s="574">
        <v>5000000</v>
      </c>
      <c r="D23" s="544"/>
      <c r="G23" s="541" t="s">
        <v>2501</v>
      </c>
      <c r="H23" s="541" t="s">
        <v>1733</v>
      </c>
      <c r="I23" s="574">
        <v>5000000</v>
      </c>
      <c r="J23" s="644">
        <v>5000000</v>
      </c>
    </row>
    <row r="24" spans="1:10">
      <c r="A24" s="541">
        <v>110111012</v>
      </c>
      <c r="B24" s="541" t="s">
        <v>1734</v>
      </c>
      <c r="C24" s="574">
        <v>5000000</v>
      </c>
      <c r="G24" s="541" t="s">
        <v>2502</v>
      </c>
      <c r="H24" s="541" t="s">
        <v>1734</v>
      </c>
      <c r="I24" s="574">
        <v>5000000</v>
      </c>
      <c r="J24" s="644">
        <v>5000000</v>
      </c>
    </row>
    <row r="25" spans="1:10">
      <c r="A25" s="541">
        <v>110111013</v>
      </c>
      <c r="B25" s="541" t="s">
        <v>1194</v>
      </c>
      <c r="C25" s="574">
        <v>236260725</v>
      </c>
      <c r="D25" s="544"/>
      <c r="G25" s="541" t="s">
        <v>2503</v>
      </c>
      <c r="H25" s="541" t="s">
        <v>1194</v>
      </c>
      <c r="I25" s="574">
        <v>236260725</v>
      </c>
      <c r="J25" s="644">
        <v>236260725</v>
      </c>
    </row>
    <row r="26" spans="1:10">
      <c r="A26" s="541">
        <v>110111014</v>
      </c>
      <c r="B26" s="541" t="s">
        <v>1735</v>
      </c>
      <c r="C26" s="574">
        <v>5000000</v>
      </c>
      <c r="D26" s="544"/>
      <c r="G26" s="541" t="s">
        <v>2504</v>
      </c>
      <c r="H26" s="541" t="s">
        <v>1735</v>
      </c>
      <c r="I26" s="574">
        <v>5000000</v>
      </c>
      <c r="J26" s="523">
        <v>5000000</v>
      </c>
    </row>
    <row r="27" spans="1:10">
      <c r="A27" s="541">
        <v>110111015</v>
      </c>
      <c r="B27" s="541" t="s">
        <v>1736</v>
      </c>
      <c r="C27" s="574">
        <v>5000000</v>
      </c>
      <c r="D27" s="544"/>
      <c r="G27" s="541" t="s">
        <v>2505</v>
      </c>
      <c r="H27" s="541" t="s">
        <v>1736</v>
      </c>
      <c r="I27" s="574">
        <v>5000000</v>
      </c>
      <c r="J27" s="644">
        <v>5000000</v>
      </c>
    </row>
    <row r="28" spans="1:10">
      <c r="A28" s="541">
        <v>110111016</v>
      </c>
      <c r="B28" s="541" t="s">
        <v>1737</v>
      </c>
      <c r="C28" s="574">
        <v>5000000</v>
      </c>
      <c r="D28" s="544"/>
      <c r="G28" s="541" t="s">
        <v>2506</v>
      </c>
      <c r="H28" s="541" t="s">
        <v>1737</v>
      </c>
      <c r="I28" s="574">
        <v>5000000</v>
      </c>
      <c r="J28" s="644">
        <v>5000000</v>
      </c>
    </row>
    <row r="29" spans="1:10">
      <c r="A29" s="607">
        <v>110111030</v>
      </c>
      <c r="B29" s="607" t="s">
        <v>943</v>
      </c>
      <c r="C29" s="626">
        <v>81609833</v>
      </c>
      <c r="D29" s="544"/>
      <c r="G29" s="541" t="s">
        <v>2507</v>
      </c>
      <c r="H29" s="541" t="s">
        <v>943</v>
      </c>
      <c r="I29" s="574">
        <v>81609833</v>
      </c>
      <c r="J29" s="644">
        <v>81609833</v>
      </c>
    </row>
    <row r="30" spans="1:10">
      <c r="A30" s="541">
        <v>110111031</v>
      </c>
      <c r="B30" s="541" t="s">
        <v>1195</v>
      </c>
      <c r="C30" s="574">
        <v>597161318</v>
      </c>
      <c r="D30" s="544"/>
      <c r="G30" s="541" t="s">
        <v>2508</v>
      </c>
      <c r="H30" s="541" t="s">
        <v>1195</v>
      </c>
      <c r="I30" s="574">
        <v>597161318</v>
      </c>
      <c r="J30" s="644">
        <v>597161318</v>
      </c>
    </row>
    <row r="31" spans="1:10">
      <c r="A31" s="541">
        <v>110111032</v>
      </c>
      <c r="B31" s="541" t="s">
        <v>1196</v>
      </c>
      <c r="C31" s="574">
        <v>24299979</v>
      </c>
      <c r="D31" s="544"/>
      <c r="G31" s="541" t="s">
        <v>2509</v>
      </c>
      <c r="H31" s="541" t="s">
        <v>1196</v>
      </c>
      <c r="I31" s="574">
        <v>24299979</v>
      </c>
      <c r="J31" s="644">
        <v>24299979</v>
      </c>
    </row>
    <row r="32" spans="1:10">
      <c r="A32" s="541">
        <v>110111033</v>
      </c>
      <c r="B32" s="541" t="s">
        <v>1738</v>
      </c>
      <c r="C32" s="574">
        <v>117842250</v>
      </c>
      <c r="D32" s="544"/>
      <c r="G32" s="541" t="s">
        <v>2510</v>
      </c>
      <c r="H32" s="541" t="s">
        <v>1738</v>
      </c>
      <c r="I32" s="574">
        <v>117842250</v>
      </c>
      <c r="J32" s="644">
        <v>117842250</v>
      </c>
    </row>
    <row r="33" spans="1:10">
      <c r="A33" s="541">
        <v>110111034</v>
      </c>
      <c r="B33" s="541" t="s">
        <v>1739</v>
      </c>
      <c r="C33" s="574">
        <v>6404296</v>
      </c>
      <c r="G33" s="541" t="s">
        <v>2511</v>
      </c>
      <c r="H33" s="541" t="s">
        <v>1739</v>
      </c>
      <c r="I33" s="502">
        <v>6404296</v>
      </c>
      <c r="J33" s="644">
        <v>6404296</v>
      </c>
    </row>
    <row r="34" spans="1:10">
      <c r="A34" s="541" t="s">
        <v>2512</v>
      </c>
      <c r="B34" s="541" t="s">
        <v>1826</v>
      </c>
      <c r="C34" s="574">
        <v>534000</v>
      </c>
      <c r="D34" s="544"/>
      <c r="G34" s="541" t="s">
        <v>2512</v>
      </c>
      <c r="H34" s="541" t="s">
        <v>1826</v>
      </c>
      <c r="I34" s="574">
        <v>534000</v>
      </c>
      <c r="J34" s="644">
        <v>534000</v>
      </c>
    </row>
    <row r="35" spans="1:10">
      <c r="A35" s="541" t="s">
        <v>1189</v>
      </c>
      <c r="B35" s="541" t="s">
        <v>1190</v>
      </c>
      <c r="C35" s="641">
        <v>2409120387</v>
      </c>
      <c r="D35" s="544"/>
      <c r="G35" s="541" t="s">
        <v>1189</v>
      </c>
      <c r="H35" s="541" t="s">
        <v>1190</v>
      </c>
      <c r="I35" s="574">
        <v>2409120387</v>
      </c>
      <c r="J35" s="523">
        <v>2409120387</v>
      </c>
    </row>
    <row r="36" spans="1:10">
      <c r="A36" s="541">
        <v>110121</v>
      </c>
      <c r="B36" s="541" t="s">
        <v>1198</v>
      </c>
      <c r="C36" s="502"/>
      <c r="D36" s="544"/>
      <c r="G36" s="541" t="s">
        <v>1197</v>
      </c>
      <c r="H36" s="541" t="s">
        <v>1198</v>
      </c>
      <c r="I36" s="574"/>
      <c r="J36" s="544"/>
    </row>
    <row r="37" spans="1:10">
      <c r="A37" s="541">
        <v>110121002</v>
      </c>
      <c r="B37" s="541" t="s">
        <v>1199</v>
      </c>
      <c r="C37" s="574">
        <v>67595910</v>
      </c>
      <c r="G37" s="541" t="s">
        <v>1924</v>
      </c>
      <c r="H37" s="541" t="s">
        <v>1199</v>
      </c>
      <c r="I37" s="502">
        <v>67595910</v>
      </c>
      <c r="J37" s="644">
        <v>67595910</v>
      </c>
    </row>
    <row r="38" spans="1:10">
      <c r="A38" s="541">
        <v>110121</v>
      </c>
      <c r="B38" s="541" t="s">
        <v>1198</v>
      </c>
      <c r="C38" s="641">
        <v>67595910</v>
      </c>
      <c r="G38" s="541" t="s">
        <v>1197</v>
      </c>
      <c r="H38" s="541" t="s">
        <v>1198</v>
      </c>
      <c r="I38" s="502">
        <v>67595910</v>
      </c>
      <c r="J38" s="644">
        <v>67595910</v>
      </c>
    </row>
    <row r="39" spans="1:10">
      <c r="A39" s="541">
        <v>1101</v>
      </c>
      <c r="B39" s="541" t="s">
        <v>1178</v>
      </c>
      <c r="C39" s="574">
        <v>2574414318</v>
      </c>
      <c r="D39" s="544"/>
      <c r="G39" s="541" t="s">
        <v>1177</v>
      </c>
      <c r="H39" s="541" t="s">
        <v>1178</v>
      </c>
      <c r="I39" s="574">
        <v>2574414318</v>
      </c>
      <c r="J39" s="523">
        <v>2574414318</v>
      </c>
    </row>
    <row r="40" spans="1:10">
      <c r="A40" s="541" t="s">
        <v>1200</v>
      </c>
      <c r="B40" s="541" t="s">
        <v>1201</v>
      </c>
      <c r="D40" s="544"/>
      <c r="G40" s="541" t="s">
        <v>1200</v>
      </c>
      <c r="H40" s="541" t="s">
        <v>1201</v>
      </c>
      <c r="I40" s="574"/>
    </row>
    <row r="41" spans="1:10">
      <c r="A41" s="541" t="s">
        <v>1202</v>
      </c>
      <c r="B41" s="541" t="s">
        <v>1203</v>
      </c>
      <c r="D41" s="544"/>
      <c r="G41" s="541" t="s">
        <v>1202</v>
      </c>
      <c r="H41" s="541" t="s">
        <v>1203</v>
      </c>
      <c r="I41" s="574"/>
      <c r="J41" s="544"/>
    </row>
    <row r="42" spans="1:10">
      <c r="A42" s="541">
        <v>110201001</v>
      </c>
      <c r="B42" s="541" t="s">
        <v>1740</v>
      </c>
      <c r="C42" s="574">
        <v>1546041005</v>
      </c>
      <c r="D42" s="544"/>
      <c r="G42" s="541" t="s">
        <v>1204</v>
      </c>
      <c r="H42" s="541" t="s">
        <v>1740</v>
      </c>
      <c r="I42" s="574">
        <v>1546041005</v>
      </c>
      <c r="J42" s="644">
        <v>1546041005</v>
      </c>
    </row>
    <row r="43" spans="1:10">
      <c r="A43" s="541">
        <v>110201002</v>
      </c>
      <c r="B43" s="541" t="s">
        <v>1741</v>
      </c>
      <c r="C43" s="574">
        <v>3025132517</v>
      </c>
      <c r="D43" s="544"/>
      <c r="G43" s="541" t="s">
        <v>1205</v>
      </c>
      <c r="H43" s="541" t="s">
        <v>1741</v>
      </c>
      <c r="I43" s="574">
        <v>3025132517</v>
      </c>
      <c r="J43" s="644">
        <v>3025132517</v>
      </c>
    </row>
    <row r="44" spans="1:10">
      <c r="A44" s="541">
        <v>110201007</v>
      </c>
      <c r="B44" s="541" t="s">
        <v>1207</v>
      </c>
      <c r="C44" s="574">
        <v>29051024</v>
      </c>
      <c r="D44" s="544"/>
      <c r="G44" s="541" t="s">
        <v>1206</v>
      </c>
      <c r="H44" s="541" t="s">
        <v>1207</v>
      </c>
      <c r="I44" s="574">
        <v>29051024</v>
      </c>
      <c r="J44" s="644">
        <v>29051024</v>
      </c>
    </row>
    <row r="45" spans="1:10">
      <c r="A45" s="541"/>
      <c r="B45" s="541"/>
      <c r="C45" s="574">
        <v>431499</v>
      </c>
      <c r="D45" s="544"/>
      <c r="G45" s="541" t="s">
        <v>1827</v>
      </c>
      <c r="H45" s="541" t="s">
        <v>1828</v>
      </c>
      <c r="I45" s="574">
        <v>431499</v>
      </c>
      <c r="J45" s="644">
        <v>431499</v>
      </c>
    </row>
    <row r="46" spans="1:10">
      <c r="A46" s="541">
        <v>110201010</v>
      </c>
      <c r="B46" s="541" t="s">
        <v>1743</v>
      </c>
      <c r="C46" s="574">
        <v>9072000</v>
      </c>
      <c r="G46" s="541" t="s">
        <v>1742</v>
      </c>
      <c r="H46" s="541" t="s">
        <v>1743</v>
      </c>
      <c r="I46" s="574">
        <v>9072000</v>
      </c>
      <c r="J46" s="644">
        <v>9072000</v>
      </c>
    </row>
    <row r="47" spans="1:10">
      <c r="A47" s="541">
        <v>110201031</v>
      </c>
      <c r="B47" s="541" t="s">
        <v>1745</v>
      </c>
      <c r="C47" s="641">
        <v>-6076124</v>
      </c>
      <c r="D47" s="544"/>
      <c r="G47" s="541" t="s">
        <v>1744</v>
      </c>
      <c r="H47" s="541" t="s">
        <v>1745</v>
      </c>
      <c r="I47" s="574">
        <v>-6076124</v>
      </c>
      <c r="J47" s="644">
        <v>-6076124</v>
      </c>
    </row>
    <row r="48" spans="1:10">
      <c r="A48" s="541"/>
      <c r="B48" s="541"/>
      <c r="C48" s="574">
        <v>5686400</v>
      </c>
      <c r="D48" s="544"/>
      <c r="G48" s="541" t="s">
        <v>1829</v>
      </c>
      <c r="H48" s="541" t="s">
        <v>1830</v>
      </c>
      <c r="I48" s="574">
        <v>5686400</v>
      </c>
      <c r="J48" s="523">
        <v>5686400</v>
      </c>
    </row>
    <row r="49" spans="1:10">
      <c r="A49" s="541">
        <v>110201</v>
      </c>
      <c r="B49" s="541" t="s">
        <v>1203</v>
      </c>
      <c r="C49" s="574">
        <v>4609338321</v>
      </c>
      <c r="G49" s="541" t="s">
        <v>1202</v>
      </c>
      <c r="H49" s="541" t="s">
        <v>1203</v>
      </c>
      <c r="I49" s="502">
        <v>4609338321</v>
      </c>
      <c r="J49" s="644">
        <v>4609338321</v>
      </c>
    </row>
    <row r="50" spans="1:10">
      <c r="A50" s="541" t="s">
        <v>1208</v>
      </c>
      <c r="B50" s="541" t="s">
        <v>1209</v>
      </c>
      <c r="D50" s="544"/>
      <c r="G50" s="541" t="s">
        <v>1208</v>
      </c>
      <c r="H50" s="541" t="s">
        <v>1209</v>
      </c>
      <c r="I50" s="574"/>
      <c r="J50" s="544"/>
    </row>
    <row r="51" spans="1:10">
      <c r="A51" s="541">
        <v>110211012</v>
      </c>
      <c r="B51" s="541" t="s">
        <v>1211</v>
      </c>
      <c r="C51" s="574">
        <v>1511541592</v>
      </c>
      <c r="D51" s="544"/>
      <c r="G51" s="541" t="s">
        <v>1210</v>
      </c>
      <c r="H51" s="541" t="s">
        <v>1211</v>
      </c>
      <c r="I51" s="574">
        <v>1511541592</v>
      </c>
      <c r="J51" s="523">
        <v>1511541592</v>
      </c>
    </row>
    <row r="52" spans="1:10">
      <c r="A52" s="607">
        <v>110211021</v>
      </c>
      <c r="B52" s="607" t="s">
        <v>2065</v>
      </c>
      <c r="C52" s="626">
        <v>907296102</v>
      </c>
      <c r="D52" s="544"/>
      <c r="G52" s="541" t="s">
        <v>1831</v>
      </c>
      <c r="H52" s="541" t="s">
        <v>1832</v>
      </c>
      <c r="I52" s="574">
        <v>907296102</v>
      </c>
      <c r="J52" s="644">
        <v>907296102</v>
      </c>
    </row>
    <row r="53" spans="1:10">
      <c r="A53" s="541">
        <v>110211</v>
      </c>
      <c r="B53" s="541" t="s">
        <v>1209</v>
      </c>
      <c r="C53" s="574">
        <v>2418837694</v>
      </c>
      <c r="D53" s="544"/>
      <c r="G53" s="541" t="s">
        <v>1208</v>
      </c>
      <c r="H53" s="541" t="s">
        <v>1209</v>
      </c>
      <c r="I53" s="574">
        <v>2418837694</v>
      </c>
      <c r="J53" s="644">
        <v>2418837694</v>
      </c>
    </row>
    <row r="54" spans="1:10">
      <c r="A54" s="541" t="s">
        <v>1212</v>
      </c>
      <c r="B54" s="541" t="s">
        <v>1213</v>
      </c>
      <c r="C54" s="502"/>
      <c r="D54" s="544"/>
      <c r="G54" s="541" t="s">
        <v>1212</v>
      </c>
      <c r="H54" s="541" t="s">
        <v>1213</v>
      </c>
      <c r="I54" s="574"/>
      <c r="J54" s="544"/>
    </row>
    <row r="55" spans="1:10">
      <c r="A55" s="541" t="s">
        <v>2044</v>
      </c>
      <c r="B55" s="541" t="s">
        <v>1746</v>
      </c>
      <c r="C55" s="574"/>
      <c r="G55" s="541" t="s">
        <v>2535</v>
      </c>
      <c r="H55" s="541" t="s">
        <v>2536</v>
      </c>
      <c r="I55" s="574">
        <v>-262503</v>
      </c>
      <c r="J55" s="644">
        <v>-262503</v>
      </c>
    </row>
    <row r="56" spans="1:10">
      <c r="A56" s="541" t="s">
        <v>1926</v>
      </c>
      <c r="B56" s="541" t="s">
        <v>1214</v>
      </c>
      <c r="C56" s="574">
        <v>36463226</v>
      </c>
      <c r="D56" s="544"/>
      <c r="G56" s="541" t="s">
        <v>1926</v>
      </c>
      <c r="H56" s="541" t="s">
        <v>1214</v>
      </c>
      <c r="I56" s="574">
        <v>36463226</v>
      </c>
      <c r="J56" s="644">
        <v>36463226</v>
      </c>
    </row>
    <row r="57" spans="1:10">
      <c r="A57" s="541" t="s">
        <v>1929</v>
      </c>
      <c r="B57" s="541" t="s">
        <v>274</v>
      </c>
      <c r="C57" s="574"/>
      <c r="D57" s="544"/>
      <c r="G57" s="541" t="s">
        <v>1212</v>
      </c>
      <c r="H57" s="541" t="s">
        <v>1213</v>
      </c>
      <c r="I57" s="574">
        <v>36200723</v>
      </c>
      <c r="J57" s="523">
        <v>36200723</v>
      </c>
    </row>
    <row r="58" spans="1:10">
      <c r="A58" s="541" t="s">
        <v>1930</v>
      </c>
      <c r="B58" s="541" t="s">
        <v>1747</v>
      </c>
      <c r="C58" s="574">
        <v>-262503</v>
      </c>
      <c r="D58" s="544"/>
      <c r="G58" s="541" t="s">
        <v>1216</v>
      </c>
      <c r="H58" s="541" t="s">
        <v>1217</v>
      </c>
      <c r="J58" s="544"/>
    </row>
    <row r="59" spans="1:10">
      <c r="A59" s="541" t="s">
        <v>1212</v>
      </c>
      <c r="B59" s="541" t="s">
        <v>1213</v>
      </c>
      <c r="C59" s="574"/>
      <c r="D59" s="544"/>
      <c r="G59" s="541" t="s">
        <v>2030</v>
      </c>
      <c r="H59" s="541" t="s">
        <v>1218</v>
      </c>
      <c r="I59" s="574">
        <v>14000000</v>
      </c>
      <c r="J59" s="644">
        <v>14000000</v>
      </c>
    </row>
    <row r="60" spans="1:10">
      <c r="A60" s="541" t="s">
        <v>1216</v>
      </c>
      <c r="B60" s="541" t="s">
        <v>1217</v>
      </c>
      <c r="C60" s="502"/>
      <c r="G60" s="541" t="s">
        <v>1932</v>
      </c>
      <c r="H60" s="541" t="s">
        <v>883</v>
      </c>
      <c r="I60" s="574">
        <v>19480000</v>
      </c>
      <c r="J60" s="644">
        <v>19480000</v>
      </c>
    </row>
    <row r="61" spans="1:10">
      <c r="A61" s="541" t="s">
        <v>2030</v>
      </c>
      <c r="B61" s="541" t="s">
        <v>1218</v>
      </c>
      <c r="C61" s="574">
        <v>14000000</v>
      </c>
      <c r="D61" s="544"/>
      <c r="G61" s="541" t="s">
        <v>1216</v>
      </c>
      <c r="H61" s="541" t="s">
        <v>1217</v>
      </c>
      <c r="I61" s="574">
        <v>33480000</v>
      </c>
      <c r="J61" s="644">
        <v>33480000</v>
      </c>
    </row>
    <row r="62" spans="1:10">
      <c r="A62" s="541" t="s">
        <v>1748</v>
      </c>
      <c r="B62" s="541" t="s">
        <v>1749</v>
      </c>
      <c r="C62" s="569"/>
      <c r="D62" s="544"/>
      <c r="G62" s="541" t="s">
        <v>1219</v>
      </c>
      <c r="H62" s="541" t="s">
        <v>1220</v>
      </c>
      <c r="I62" s="574"/>
    </row>
    <row r="63" spans="1:10">
      <c r="A63" s="541" t="s">
        <v>1932</v>
      </c>
      <c r="B63" s="541" t="s">
        <v>883</v>
      </c>
      <c r="C63" s="574">
        <v>19480000</v>
      </c>
      <c r="G63" s="541" t="s">
        <v>1935</v>
      </c>
      <c r="H63" s="541" t="s">
        <v>272</v>
      </c>
      <c r="I63" s="574">
        <v>24000000</v>
      </c>
      <c r="J63" s="644">
        <v>24000000</v>
      </c>
    </row>
    <row r="64" spans="1:10">
      <c r="A64" s="541" t="s">
        <v>1216</v>
      </c>
      <c r="B64" s="541" t="s">
        <v>1217</v>
      </c>
      <c r="C64" s="574">
        <v>33480000</v>
      </c>
      <c r="D64" s="544"/>
      <c r="G64" s="541" t="s">
        <v>1937</v>
      </c>
      <c r="H64" s="541" t="s">
        <v>1716</v>
      </c>
      <c r="I64" s="574">
        <v>10470252</v>
      </c>
      <c r="J64" s="644">
        <v>10470252</v>
      </c>
    </row>
    <row r="65" spans="1:10">
      <c r="A65" s="541" t="s">
        <v>1219</v>
      </c>
      <c r="B65" s="541" t="s">
        <v>1220</v>
      </c>
      <c r="D65" s="544"/>
      <c r="G65" s="541" t="s">
        <v>1938</v>
      </c>
      <c r="H65" s="541" t="s">
        <v>1352</v>
      </c>
      <c r="I65" s="574">
        <v>102176352</v>
      </c>
      <c r="J65" s="523">
        <v>102176352</v>
      </c>
    </row>
    <row r="66" spans="1:10">
      <c r="A66" s="541">
        <v>110251011</v>
      </c>
      <c r="B66" s="541" t="s">
        <v>272</v>
      </c>
      <c r="C66" s="574">
        <v>24000000</v>
      </c>
      <c r="D66" s="544"/>
      <c r="G66" s="541" t="s">
        <v>1939</v>
      </c>
      <c r="H66" s="541" t="s">
        <v>1833</v>
      </c>
      <c r="I66" s="502">
        <v>349999999</v>
      </c>
      <c r="J66" s="644">
        <v>349999999</v>
      </c>
    </row>
    <row r="67" spans="1:10">
      <c r="A67" s="541"/>
      <c r="B67" s="541"/>
      <c r="C67" s="574"/>
      <c r="D67" s="544"/>
      <c r="G67" s="541" t="s">
        <v>1219</v>
      </c>
      <c r="H67" s="541" t="s">
        <v>1220</v>
      </c>
      <c r="I67" s="574">
        <v>486646603</v>
      </c>
      <c r="J67" s="644">
        <v>486646603</v>
      </c>
    </row>
    <row r="68" spans="1:10">
      <c r="A68" s="541">
        <v>110251021</v>
      </c>
      <c r="B68" s="541" t="s">
        <v>1716</v>
      </c>
      <c r="C68" s="574">
        <v>10470252</v>
      </c>
      <c r="D68" s="544"/>
      <c r="G68" s="541" t="s">
        <v>1200</v>
      </c>
      <c r="H68" s="541" t="s">
        <v>1201</v>
      </c>
      <c r="I68" s="574">
        <v>7584503341</v>
      </c>
      <c r="J68" s="644">
        <v>7584503341</v>
      </c>
    </row>
    <row r="69" spans="1:10">
      <c r="A69" s="607">
        <v>110251022</v>
      </c>
      <c r="B69" s="607" t="s">
        <v>1352</v>
      </c>
      <c r="C69" s="626">
        <v>102176352</v>
      </c>
      <c r="G69" s="541" t="s">
        <v>1221</v>
      </c>
      <c r="H69" s="541" t="s">
        <v>1222</v>
      </c>
      <c r="I69" s="574"/>
      <c r="J69" s="544"/>
    </row>
    <row r="70" spans="1:10">
      <c r="A70" s="607">
        <v>110251023</v>
      </c>
      <c r="B70" s="607" t="s">
        <v>2066</v>
      </c>
      <c r="C70" s="626">
        <v>349999999</v>
      </c>
      <c r="G70" s="541" t="s">
        <v>1223</v>
      </c>
      <c r="H70" s="541" t="s">
        <v>1224</v>
      </c>
      <c r="I70" s="574"/>
      <c r="J70" s="544"/>
    </row>
    <row r="71" spans="1:10">
      <c r="A71" s="541">
        <v>110251</v>
      </c>
      <c r="B71" s="541" t="s">
        <v>1220</v>
      </c>
      <c r="C71" s="574">
        <v>486646603</v>
      </c>
      <c r="D71" s="544"/>
      <c r="G71" s="541" t="s">
        <v>1941</v>
      </c>
      <c r="H71" s="541" t="s">
        <v>1225</v>
      </c>
      <c r="I71" s="502">
        <v>5880674229</v>
      </c>
      <c r="J71" s="523">
        <v>5880674229</v>
      </c>
    </row>
    <row r="72" spans="1:10">
      <c r="A72" s="541">
        <v>1102</v>
      </c>
      <c r="B72" s="541" t="s">
        <v>1201</v>
      </c>
      <c r="C72" s="574">
        <v>7584503341</v>
      </c>
      <c r="D72" s="544"/>
      <c r="G72" s="541" t="s">
        <v>1942</v>
      </c>
      <c r="H72" s="541" t="s">
        <v>1226</v>
      </c>
      <c r="I72" s="574">
        <v>-874375338</v>
      </c>
      <c r="J72" s="523">
        <v>-874375338</v>
      </c>
    </row>
    <row r="73" spans="1:10">
      <c r="A73" s="541" t="s">
        <v>1221</v>
      </c>
      <c r="B73" s="541" t="s">
        <v>1222</v>
      </c>
      <c r="C73" s="546"/>
      <c r="D73" s="544"/>
      <c r="G73" s="541" t="s">
        <v>1943</v>
      </c>
      <c r="H73" s="541" t="s">
        <v>1227</v>
      </c>
      <c r="I73" s="574">
        <v>2063692554</v>
      </c>
      <c r="J73" s="644">
        <v>2063692554</v>
      </c>
    </row>
    <row r="74" spans="1:10">
      <c r="A74" s="541" t="s">
        <v>1223</v>
      </c>
      <c r="B74" s="541" t="s">
        <v>1224</v>
      </c>
      <c r="C74" s="542"/>
      <c r="D74" s="544"/>
      <c r="G74" s="541" t="s">
        <v>1944</v>
      </c>
      <c r="H74" s="541" t="s">
        <v>1228</v>
      </c>
      <c r="I74" s="574">
        <v>27585000</v>
      </c>
      <c r="J74" s="644">
        <v>27585000</v>
      </c>
    </row>
    <row r="75" spans="1:10">
      <c r="A75" s="541">
        <v>110301001</v>
      </c>
      <c r="B75" s="541" t="s">
        <v>1225</v>
      </c>
      <c r="C75" s="574">
        <v>5880674229</v>
      </c>
      <c r="D75" s="544"/>
      <c r="G75" s="541" t="s">
        <v>1223</v>
      </c>
      <c r="H75" s="541" t="s">
        <v>1224</v>
      </c>
      <c r="I75" s="574">
        <v>7097576445</v>
      </c>
      <c r="J75" s="644">
        <v>7097576445</v>
      </c>
    </row>
    <row r="76" spans="1:10">
      <c r="A76" s="541">
        <v>110301002</v>
      </c>
      <c r="B76" s="541" t="s">
        <v>1226</v>
      </c>
      <c r="C76" s="574">
        <v>-874375338</v>
      </c>
      <c r="G76" s="541" t="s">
        <v>1229</v>
      </c>
      <c r="H76" s="541" t="s">
        <v>1230</v>
      </c>
      <c r="I76" s="574"/>
      <c r="J76" s="544"/>
    </row>
    <row r="77" spans="1:10">
      <c r="A77" s="541">
        <v>110301003</v>
      </c>
      <c r="B77" s="541" t="s">
        <v>1227</v>
      </c>
      <c r="C77" s="574">
        <v>2063692554</v>
      </c>
      <c r="D77" s="544"/>
      <c r="G77" s="541" t="s">
        <v>1945</v>
      </c>
      <c r="H77" s="541" t="s">
        <v>1231</v>
      </c>
      <c r="I77" s="502">
        <v>1052560824</v>
      </c>
      <c r="J77" s="644">
        <v>1052560824</v>
      </c>
    </row>
    <row r="78" spans="1:10">
      <c r="A78" s="541">
        <v>110301004</v>
      </c>
      <c r="B78" s="541" t="s">
        <v>1228</v>
      </c>
      <c r="C78" s="574">
        <v>27585000</v>
      </c>
      <c r="D78" s="544"/>
      <c r="G78" s="541" t="s">
        <v>1946</v>
      </c>
      <c r="H78" s="541" t="s">
        <v>1232</v>
      </c>
      <c r="I78" s="502">
        <v>365571346</v>
      </c>
      <c r="J78" s="523">
        <v>365571346</v>
      </c>
    </row>
    <row r="79" spans="1:10">
      <c r="A79" s="541">
        <v>110301</v>
      </c>
      <c r="B79" s="541" t="s">
        <v>1224</v>
      </c>
      <c r="C79" s="502">
        <v>7097576445</v>
      </c>
      <c r="D79" s="544"/>
      <c r="G79" s="541" t="s">
        <v>1947</v>
      </c>
      <c r="H79" s="541" t="s">
        <v>1233</v>
      </c>
      <c r="I79" s="574">
        <v>1806041528</v>
      </c>
      <c r="J79" s="644">
        <v>1806041528</v>
      </c>
    </row>
    <row r="80" spans="1:10">
      <c r="A80" s="541" t="s">
        <v>1229</v>
      </c>
      <c r="B80" s="541" t="s">
        <v>1230</v>
      </c>
      <c r="C80" s="502"/>
      <c r="D80" s="544"/>
      <c r="G80" s="541" t="s">
        <v>1229</v>
      </c>
      <c r="H80" s="541" t="s">
        <v>1230</v>
      </c>
      <c r="I80" s="574">
        <v>3224173698</v>
      </c>
      <c r="J80" s="644">
        <v>3224173698</v>
      </c>
    </row>
    <row r="81" spans="1:10">
      <c r="A81" s="541">
        <v>110302001</v>
      </c>
      <c r="B81" s="541" t="s">
        <v>1231</v>
      </c>
      <c r="C81" s="574">
        <v>1052560824</v>
      </c>
      <c r="G81" s="541" t="s">
        <v>1234</v>
      </c>
      <c r="H81" s="541" t="s">
        <v>1235</v>
      </c>
      <c r="I81" s="574"/>
      <c r="J81" s="544"/>
    </row>
    <row r="82" spans="1:10">
      <c r="A82" s="541">
        <v>110302002</v>
      </c>
      <c r="B82" s="541" t="s">
        <v>1232</v>
      </c>
      <c r="C82" s="574">
        <v>365571346</v>
      </c>
      <c r="D82" s="544"/>
      <c r="G82" s="541" t="s">
        <v>1948</v>
      </c>
      <c r="H82" s="541" t="s">
        <v>1236</v>
      </c>
      <c r="I82" s="574">
        <v>8333972</v>
      </c>
      <c r="J82" s="644">
        <v>8333972</v>
      </c>
    </row>
    <row r="83" spans="1:10">
      <c r="A83" s="541">
        <v>110302003</v>
      </c>
      <c r="B83" s="541" t="s">
        <v>1233</v>
      </c>
      <c r="C83" s="574">
        <v>1806041528</v>
      </c>
      <c r="D83" s="544"/>
      <c r="G83" s="541" t="s">
        <v>1949</v>
      </c>
      <c r="H83" s="541" t="s">
        <v>1236</v>
      </c>
      <c r="I83" s="574">
        <v>119144110</v>
      </c>
      <c r="J83" s="523">
        <v>119144110</v>
      </c>
    </row>
    <row r="84" spans="1:10">
      <c r="A84" s="541">
        <v>110302</v>
      </c>
      <c r="B84" s="541" t="s">
        <v>1230</v>
      </c>
      <c r="C84" s="574">
        <v>3224173698</v>
      </c>
      <c r="D84" s="544"/>
      <c r="G84" s="541" t="s">
        <v>1950</v>
      </c>
      <c r="H84" s="541" t="s">
        <v>1237</v>
      </c>
      <c r="I84" s="502">
        <v>80942476</v>
      </c>
      <c r="J84" s="644">
        <v>80942476</v>
      </c>
    </row>
    <row r="85" spans="1:10">
      <c r="A85" s="541" t="s">
        <v>1234</v>
      </c>
      <c r="B85" s="541" t="s">
        <v>1235</v>
      </c>
      <c r="C85" s="502"/>
      <c r="D85" s="544"/>
      <c r="G85" s="541" t="s">
        <v>1234</v>
      </c>
      <c r="H85" s="541" t="s">
        <v>1235</v>
      </c>
      <c r="I85" s="574">
        <v>208420558</v>
      </c>
      <c r="J85" s="644">
        <v>208420558</v>
      </c>
    </row>
    <row r="86" spans="1:10">
      <c r="A86" s="541">
        <v>110303001</v>
      </c>
      <c r="B86" s="541" t="s">
        <v>1236</v>
      </c>
      <c r="C86" s="502">
        <v>8333972</v>
      </c>
      <c r="G86" s="541" t="s">
        <v>1951</v>
      </c>
      <c r="H86" s="541" t="s">
        <v>1238</v>
      </c>
      <c r="I86" s="574"/>
      <c r="J86" s="544"/>
    </row>
    <row r="87" spans="1:10">
      <c r="A87" s="541">
        <v>110303002</v>
      </c>
      <c r="B87" s="541" t="s">
        <v>1236</v>
      </c>
      <c r="C87" s="574">
        <v>119144110</v>
      </c>
      <c r="D87" s="544"/>
      <c r="G87" s="541" t="s">
        <v>1952</v>
      </c>
      <c r="H87" s="541" t="s">
        <v>1750</v>
      </c>
      <c r="I87" s="574">
        <v>922861467</v>
      </c>
      <c r="J87" s="644">
        <v>922861467</v>
      </c>
    </row>
    <row r="88" spans="1:10">
      <c r="A88" s="541">
        <v>110303003</v>
      </c>
      <c r="B88" s="541" t="s">
        <v>1237</v>
      </c>
      <c r="C88" s="574">
        <v>80942476</v>
      </c>
      <c r="D88" s="544"/>
      <c r="G88" s="541" t="s">
        <v>1953</v>
      </c>
      <c r="H88" s="541" t="s">
        <v>1751</v>
      </c>
      <c r="I88" s="574">
        <v>987835591</v>
      </c>
      <c r="J88" s="523">
        <v>987835591</v>
      </c>
    </row>
    <row r="89" spans="1:10">
      <c r="A89" s="541">
        <v>110303</v>
      </c>
      <c r="B89" s="541" t="s">
        <v>1235</v>
      </c>
      <c r="C89" s="574">
        <v>208420558</v>
      </c>
      <c r="D89" s="544"/>
      <c r="G89" s="541" t="s">
        <v>1954</v>
      </c>
      <c r="H89" s="541" t="s">
        <v>1752</v>
      </c>
      <c r="I89" s="502">
        <v>748538890</v>
      </c>
      <c r="J89" s="644">
        <v>748538890</v>
      </c>
    </row>
    <row r="90" spans="1:10">
      <c r="A90" s="541">
        <v>110304</v>
      </c>
      <c r="B90" s="541" t="s">
        <v>1238</v>
      </c>
      <c r="C90" s="574"/>
      <c r="D90" s="544"/>
      <c r="G90" s="541" t="s">
        <v>1951</v>
      </c>
      <c r="H90" s="541" t="s">
        <v>1238</v>
      </c>
      <c r="I90" s="574">
        <v>2659235948</v>
      </c>
      <c r="J90" s="644">
        <v>2659235948</v>
      </c>
    </row>
    <row r="91" spans="1:10">
      <c r="A91" s="541">
        <v>110304001</v>
      </c>
      <c r="B91" s="541" t="s">
        <v>1750</v>
      </c>
      <c r="C91" s="502">
        <v>922861467</v>
      </c>
      <c r="G91" s="541" t="s">
        <v>1239</v>
      </c>
      <c r="H91" s="541" t="s">
        <v>1240</v>
      </c>
      <c r="I91" s="574"/>
      <c r="J91" s="544"/>
    </row>
    <row r="92" spans="1:10">
      <c r="A92" s="541">
        <v>110304002</v>
      </c>
      <c r="B92" s="541" t="s">
        <v>1751</v>
      </c>
      <c r="C92" s="574">
        <v>987835591</v>
      </c>
      <c r="D92" s="544"/>
      <c r="G92" s="541" t="s">
        <v>1955</v>
      </c>
      <c r="H92" s="541" t="s">
        <v>1241</v>
      </c>
      <c r="I92" s="574">
        <v>1048382288</v>
      </c>
      <c r="J92" s="644">
        <v>1048382288</v>
      </c>
    </row>
    <row r="93" spans="1:10">
      <c r="A93" s="541">
        <v>110304003</v>
      </c>
      <c r="B93" s="541" t="s">
        <v>1752</v>
      </c>
      <c r="C93" s="574">
        <v>748538890</v>
      </c>
      <c r="D93" s="544"/>
      <c r="G93" s="541" t="s">
        <v>1956</v>
      </c>
      <c r="H93" s="541" t="s">
        <v>1753</v>
      </c>
      <c r="I93" s="574">
        <v>-43741301</v>
      </c>
      <c r="J93" s="523">
        <v>-43741301</v>
      </c>
    </row>
    <row r="94" spans="1:10">
      <c r="A94" s="541">
        <v>110304</v>
      </c>
      <c r="B94" s="541" t="s">
        <v>1238</v>
      </c>
      <c r="C94" s="574">
        <v>2659235948</v>
      </c>
      <c r="D94" s="544"/>
      <c r="G94" s="541" t="s">
        <v>1957</v>
      </c>
      <c r="H94" s="541" t="s">
        <v>1242</v>
      </c>
      <c r="I94" s="502">
        <v>405804964</v>
      </c>
      <c r="J94" s="644">
        <v>405804964</v>
      </c>
    </row>
    <row r="95" spans="1:10">
      <c r="A95" s="541" t="s">
        <v>1239</v>
      </c>
      <c r="B95" s="541" t="s">
        <v>1240</v>
      </c>
      <c r="C95" s="574"/>
      <c r="D95" s="544"/>
      <c r="G95" s="541" t="s">
        <v>1239</v>
      </c>
      <c r="H95" s="541" t="s">
        <v>1240</v>
      </c>
      <c r="I95" s="574">
        <v>1410445951</v>
      </c>
      <c r="J95" s="644">
        <v>1410445951</v>
      </c>
    </row>
    <row r="96" spans="1:10">
      <c r="A96" s="541">
        <v>110305001</v>
      </c>
      <c r="B96" s="541" t="s">
        <v>1241</v>
      </c>
      <c r="C96" s="502">
        <v>1048382288</v>
      </c>
      <c r="D96" s="544"/>
      <c r="G96" s="541" t="s">
        <v>1243</v>
      </c>
      <c r="H96" s="541" t="s">
        <v>1244</v>
      </c>
      <c r="I96" s="574"/>
      <c r="J96" s="544"/>
    </row>
    <row r="97" spans="1:10">
      <c r="A97" s="541">
        <v>110305002</v>
      </c>
      <c r="B97" s="541" t="s">
        <v>1753</v>
      </c>
      <c r="C97" s="574">
        <v>-43741301</v>
      </c>
      <c r="D97" s="544"/>
      <c r="G97" s="541" t="s">
        <v>1958</v>
      </c>
      <c r="H97" s="541" t="s">
        <v>1245</v>
      </c>
      <c r="I97" s="574">
        <v>10156368</v>
      </c>
      <c r="J97" s="644">
        <v>10156368</v>
      </c>
    </row>
    <row r="98" spans="1:10">
      <c r="A98" s="541">
        <v>110305003</v>
      </c>
      <c r="B98" s="541" t="s">
        <v>1242</v>
      </c>
      <c r="C98" s="574">
        <v>405804964</v>
      </c>
      <c r="D98" s="544"/>
      <c r="G98" s="541" t="s">
        <v>1959</v>
      </c>
      <c r="H98" s="541" t="s">
        <v>1246</v>
      </c>
      <c r="I98" s="574">
        <v>4928110</v>
      </c>
      <c r="J98" s="644">
        <v>4928110</v>
      </c>
    </row>
    <row r="99" spans="1:10">
      <c r="A99" s="541">
        <v>110305</v>
      </c>
      <c r="B99" s="541" t="s">
        <v>1240</v>
      </c>
      <c r="C99" s="574">
        <v>1410445951</v>
      </c>
      <c r="D99" s="544"/>
      <c r="G99" s="541" t="s">
        <v>1243</v>
      </c>
      <c r="H99" s="541" t="s">
        <v>1244</v>
      </c>
      <c r="I99" s="502">
        <v>15084478</v>
      </c>
      <c r="J99" s="644">
        <v>15084478</v>
      </c>
    </row>
    <row r="100" spans="1:10">
      <c r="A100" s="541" t="s">
        <v>1243</v>
      </c>
      <c r="B100" s="541" t="s">
        <v>1244</v>
      </c>
      <c r="C100" s="574"/>
      <c r="D100" s="544"/>
      <c r="G100" s="541" t="s">
        <v>1247</v>
      </c>
      <c r="H100" s="541" t="s">
        <v>1248</v>
      </c>
      <c r="I100" s="574"/>
      <c r="J100" s="544"/>
    </row>
    <row r="101" spans="1:10">
      <c r="A101" s="541">
        <v>110306006</v>
      </c>
      <c r="B101" s="541" t="s">
        <v>1245</v>
      </c>
      <c r="C101" s="502">
        <v>10156368</v>
      </c>
      <c r="G101" s="541" t="s">
        <v>2537</v>
      </c>
      <c r="H101" s="541" t="s">
        <v>1754</v>
      </c>
      <c r="I101" s="574">
        <v>5177</v>
      </c>
      <c r="J101" s="644">
        <v>5177</v>
      </c>
    </row>
    <row r="102" spans="1:10">
      <c r="A102" s="541">
        <v>110306007</v>
      </c>
      <c r="B102" s="541" t="s">
        <v>1246</v>
      </c>
      <c r="C102" s="574">
        <v>4928110</v>
      </c>
      <c r="D102" s="544"/>
      <c r="G102" s="541" t="s">
        <v>1960</v>
      </c>
      <c r="H102" s="541" t="s">
        <v>1249</v>
      </c>
      <c r="I102" s="574">
        <v>34665548</v>
      </c>
      <c r="J102" s="644">
        <v>34665548</v>
      </c>
    </row>
    <row r="103" spans="1:10">
      <c r="A103" s="541">
        <v>110306</v>
      </c>
      <c r="B103" s="541" t="s">
        <v>1244</v>
      </c>
      <c r="C103" s="574">
        <v>15084478</v>
      </c>
      <c r="D103" s="544"/>
      <c r="G103" s="541" t="s">
        <v>1247</v>
      </c>
      <c r="H103" s="541" t="s">
        <v>1248</v>
      </c>
      <c r="I103" s="574">
        <v>34670725</v>
      </c>
      <c r="J103" s="523">
        <v>34670725</v>
      </c>
    </row>
    <row r="104" spans="1:10">
      <c r="A104" s="541" t="s">
        <v>1247</v>
      </c>
      <c r="B104" s="541" t="s">
        <v>1248</v>
      </c>
      <c r="C104" s="502"/>
      <c r="D104" s="544"/>
      <c r="G104" s="541" t="s">
        <v>1250</v>
      </c>
      <c r="H104" s="541" t="s">
        <v>1251</v>
      </c>
      <c r="J104" s="544"/>
    </row>
    <row r="105" spans="1:10">
      <c r="A105" s="541">
        <v>110350002</v>
      </c>
      <c r="B105" s="541" t="s">
        <v>1754</v>
      </c>
      <c r="C105" s="574">
        <v>5177</v>
      </c>
      <c r="G105" s="541" t="s">
        <v>1961</v>
      </c>
      <c r="H105" s="541" t="s">
        <v>1252</v>
      </c>
      <c r="I105" s="574">
        <v>1830495</v>
      </c>
      <c r="J105" s="644">
        <v>1830495</v>
      </c>
    </row>
    <row r="106" spans="1:10">
      <c r="A106" s="541">
        <v>110350003</v>
      </c>
      <c r="B106" s="541" t="s">
        <v>1249</v>
      </c>
      <c r="C106" s="502">
        <v>34665548</v>
      </c>
      <c r="D106" s="544"/>
      <c r="G106" s="541" t="s">
        <v>1962</v>
      </c>
      <c r="H106" s="541" t="s">
        <v>1253</v>
      </c>
      <c r="I106" s="574">
        <v>26295405</v>
      </c>
      <c r="J106" s="644">
        <v>26295405</v>
      </c>
    </row>
    <row r="107" spans="1:10">
      <c r="A107" s="541">
        <v>110350</v>
      </c>
      <c r="B107" s="541" t="s">
        <v>1248</v>
      </c>
      <c r="C107" s="574">
        <v>34670725</v>
      </c>
      <c r="D107" s="544"/>
      <c r="G107" s="541" t="s">
        <v>1250</v>
      </c>
      <c r="H107" s="541" t="s">
        <v>1251</v>
      </c>
      <c r="I107" s="574">
        <v>28125900</v>
      </c>
      <c r="J107" s="523">
        <v>28125900</v>
      </c>
    </row>
    <row r="108" spans="1:10">
      <c r="A108" s="541" t="s">
        <v>1250</v>
      </c>
      <c r="B108" s="541" t="s">
        <v>1251</v>
      </c>
      <c r="C108" s="574"/>
      <c r="D108" s="544"/>
      <c r="G108" s="541" t="s">
        <v>1254</v>
      </c>
      <c r="H108" s="541" t="s">
        <v>1255</v>
      </c>
      <c r="J108" s="544"/>
    </row>
    <row r="109" spans="1:10">
      <c r="A109" s="541">
        <v>110352002</v>
      </c>
      <c r="B109" s="541" t="s">
        <v>1252</v>
      </c>
      <c r="C109" s="574">
        <v>1830495</v>
      </c>
      <c r="G109" s="541" t="s">
        <v>1963</v>
      </c>
      <c r="H109" s="541" t="s">
        <v>1256</v>
      </c>
      <c r="I109" s="574">
        <v>41860</v>
      </c>
      <c r="J109" s="644">
        <v>41860</v>
      </c>
    </row>
    <row r="110" spans="1:10">
      <c r="A110" s="541">
        <v>110352003</v>
      </c>
      <c r="B110" s="541" t="s">
        <v>1253</v>
      </c>
      <c r="C110" s="502">
        <v>26295405</v>
      </c>
      <c r="D110" s="544"/>
      <c r="G110" s="541" t="s">
        <v>1964</v>
      </c>
      <c r="H110" s="541" t="s">
        <v>1257</v>
      </c>
      <c r="I110" s="574">
        <v>11045256</v>
      </c>
      <c r="J110" s="644">
        <v>11045256</v>
      </c>
    </row>
    <row r="111" spans="1:10">
      <c r="A111" s="541">
        <v>110352</v>
      </c>
      <c r="B111" s="541" t="s">
        <v>1251</v>
      </c>
      <c r="C111" s="574">
        <v>28125900</v>
      </c>
      <c r="D111" s="544"/>
      <c r="G111" s="541" t="s">
        <v>1254</v>
      </c>
      <c r="H111" s="541" t="s">
        <v>1255</v>
      </c>
      <c r="I111" s="574">
        <v>11087116</v>
      </c>
      <c r="J111" s="523">
        <v>11087116</v>
      </c>
    </row>
    <row r="112" spans="1:10">
      <c r="A112" s="541" t="s">
        <v>1254</v>
      </c>
      <c r="B112" s="541" t="s">
        <v>1255</v>
      </c>
      <c r="C112" s="574"/>
      <c r="D112" s="544"/>
      <c r="G112" s="541" t="s">
        <v>1258</v>
      </c>
      <c r="H112" s="541" t="s">
        <v>1259</v>
      </c>
      <c r="J112" s="544"/>
    </row>
    <row r="113" spans="1:10">
      <c r="A113" s="541">
        <v>110355002</v>
      </c>
      <c r="B113" s="541" t="s">
        <v>1256</v>
      </c>
      <c r="C113" s="574">
        <v>41860</v>
      </c>
      <c r="D113" s="544"/>
      <c r="G113" s="541" t="s">
        <v>1965</v>
      </c>
      <c r="H113" s="541" t="s">
        <v>1260</v>
      </c>
      <c r="I113" s="574">
        <v>409814</v>
      </c>
      <c r="J113" s="644">
        <v>409814</v>
      </c>
    </row>
    <row r="114" spans="1:10">
      <c r="A114" s="541">
        <v>110355003</v>
      </c>
      <c r="B114" s="541" t="s">
        <v>1257</v>
      </c>
      <c r="C114" s="502">
        <v>11045256</v>
      </c>
      <c r="D114" s="544"/>
      <c r="G114" s="541" t="s">
        <v>1966</v>
      </c>
      <c r="H114" s="541" t="s">
        <v>1261</v>
      </c>
      <c r="I114" s="574">
        <v>75807</v>
      </c>
      <c r="J114" s="644">
        <v>75807</v>
      </c>
    </row>
    <row r="115" spans="1:10">
      <c r="A115" s="541">
        <v>110355</v>
      </c>
      <c r="B115" s="541" t="s">
        <v>1255</v>
      </c>
      <c r="C115" s="574">
        <v>11087116</v>
      </c>
      <c r="D115" s="544"/>
      <c r="G115" s="541" t="s">
        <v>1967</v>
      </c>
      <c r="H115" s="541" t="s">
        <v>1262</v>
      </c>
      <c r="I115" s="574">
        <v>10572231</v>
      </c>
      <c r="J115" s="644">
        <v>10572231</v>
      </c>
    </row>
    <row r="116" spans="1:10">
      <c r="A116" s="541">
        <v>110357</v>
      </c>
      <c r="B116" s="541" t="s">
        <v>1259</v>
      </c>
      <c r="C116" s="502"/>
      <c r="G116" s="541" t="s">
        <v>1968</v>
      </c>
      <c r="H116" s="541" t="s">
        <v>1263</v>
      </c>
      <c r="I116" s="502">
        <v>10234758</v>
      </c>
      <c r="J116" s="644">
        <v>10234758</v>
      </c>
    </row>
    <row r="117" spans="1:10">
      <c r="A117" s="541">
        <v>110357001</v>
      </c>
      <c r="B117" s="541" t="s">
        <v>1260</v>
      </c>
      <c r="C117" s="574">
        <v>409814</v>
      </c>
      <c r="D117" s="544"/>
      <c r="G117" s="541" t="s">
        <v>1258</v>
      </c>
      <c r="H117" s="541" t="s">
        <v>1259</v>
      </c>
      <c r="I117" s="574">
        <v>21292610</v>
      </c>
      <c r="J117" s="644">
        <v>21292610</v>
      </c>
    </row>
    <row r="118" spans="1:10">
      <c r="A118" s="541">
        <v>110357002</v>
      </c>
      <c r="B118" s="541" t="s">
        <v>1261</v>
      </c>
      <c r="C118" s="502">
        <v>75807</v>
      </c>
      <c r="D118" s="544"/>
      <c r="G118" s="541" t="s">
        <v>1264</v>
      </c>
      <c r="H118" s="541" t="s">
        <v>1265</v>
      </c>
      <c r="I118" s="574"/>
    </row>
    <row r="119" spans="1:10">
      <c r="A119" s="541">
        <v>110357003</v>
      </c>
      <c r="B119" s="541" t="s">
        <v>1262</v>
      </c>
      <c r="C119" s="574">
        <v>10572231</v>
      </c>
      <c r="D119" s="544"/>
      <c r="G119" s="541" t="s">
        <v>1969</v>
      </c>
      <c r="H119" s="541" t="s">
        <v>1266</v>
      </c>
      <c r="I119" s="574">
        <v>2797614</v>
      </c>
      <c r="J119" s="644">
        <v>2797614</v>
      </c>
    </row>
    <row r="120" spans="1:10">
      <c r="A120" s="541">
        <v>110357103</v>
      </c>
      <c r="B120" s="541" t="s">
        <v>1263</v>
      </c>
      <c r="C120" s="574">
        <v>10234758</v>
      </c>
      <c r="G120" s="541" t="s">
        <v>1264</v>
      </c>
      <c r="H120" s="541" t="s">
        <v>1265</v>
      </c>
      <c r="I120" s="502">
        <v>2797614</v>
      </c>
      <c r="J120" s="644">
        <v>2797614</v>
      </c>
    </row>
    <row r="121" spans="1:10">
      <c r="A121" s="541">
        <v>110357</v>
      </c>
      <c r="B121" s="541" t="s">
        <v>1259</v>
      </c>
      <c r="C121" s="574">
        <v>21292610</v>
      </c>
      <c r="D121" s="544"/>
      <c r="G121" s="541" t="s">
        <v>1970</v>
      </c>
      <c r="H121" s="541" t="s">
        <v>1267</v>
      </c>
      <c r="I121" s="574"/>
      <c r="J121" s="544"/>
    </row>
    <row r="122" spans="1:10">
      <c r="A122" s="541" t="s">
        <v>1264</v>
      </c>
      <c r="B122" s="541" t="s">
        <v>1265</v>
      </c>
      <c r="C122" s="502"/>
      <c r="D122" s="544"/>
      <c r="G122" s="541" t="s">
        <v>1971</v>
      </c>
      <c r="H122" s="541" t="s">
        <v>1268</v>
      </c>
      <c r="I122" s="574">
        <v>126203091</v>
      </c>
      <c r="J122" s="523">
        <v>126203091</v>
      </c>
    </row>
    <row r="123" spans="1:10">
      <c r="A123" s="541">
        <v>110359003</v>
      </c>
      <c r="B123" s="541" t="s">
        <v>1266</v>
      </c>
      <c r="C123" s="574">
        <v>2797614</v>
      </c>
      <c r="D123" s="544"/>
      <c r="G123" s="541" t="s">
        <v>1970</v>
      </c>
      <c r="H123" s="541" t="s">
        <v>1267</v>
      </c>
      <c r="I123" s="574">
        <v>126203091</v>
      </c>
      <c r="J123" s="644">
        <v>126203091</v>
      </c>
    </row>
    <row r="124" spans="1:10">
      <c r="A124" s="541">
        <v>110359</v>
      </c>
      <c r="B124" s="541" t="s">
        <v>1265</v>
      </c>
      <c r="C124" s="574">
        <v>2797614</v>
      </c>
      <c r="D124" s="544"/>
      <c r="G124" s="541" t="s">
        <v>1972</v>
      </c>
      <c r="H124" s="541" t="s">
        <v>1269</v>
      </c>
      <c r="I124" s="574"/>
      <c r="J124" s="544"/>
    </row>
    <row r="125" spans="1:10">
      <c r="A125" s="541">
        <v>110361</v>
      </c>
      <c r="B125" s="541" t="s">
        <v>1267</v>
      </c>
      <c r="C125" s="574"/>
      <c r="D125" s="544"/>
      <c r="G125" s="541" t="s">
        <v>2515</v>
      </c>
      <c r="H125" s="541" t="s">
        <v>1270</v>
      </c>
      <c r="I125" s="574">
        <v>35576147</v>
      </c>
      <c r="J125" s="644">
        <v>35576147</v>
      </c>
    </row>
    <row r="126" spans="1:10">
      <c r="A126" s="541">
        <v>110361003</v>
      </c>
      <c r="B126" s="541" t="s">
        <v>1268</v>
      </c>
      <c r="C126" s="574">
        <v>126203091</v>
      </c>
      <c r="D126" s="544"/>
      <c r="G126" s="541" t="s">
        <v>2516</v>
      </c>
      <c r="H126" s="541" t="s">
        <v>1271</v>
      </c>
      <c r="I126" s="502">
        <v>44953345</v>
      </c>
      <c r="J126" s="644">
        <v>44953345</v>
      </c>
    </row>
    <row r="127" spans="1:10">
      <c r="A127" s="541">
        <v>110361</v>
      </c>
      <c r="B127" s="541" t="s">
        <v>1267</v>
      </c>
      <c r="C127" s="574">
        <v>126203091</v>
      </c>
      <c r="D127" s="544"/>
      <c r="G127" s="541" t="s">
        <v>1972</v>
      </c>
      <c r="H127" s="541" t="s">
        <v>1269</v>
      </c>
      <c r="I127" s="574">
        <v>80529492</v>
      </c>
      <c r="J127" s="644">
        <v>80529492</v>
      </c>
    </row>
    <row r="128" spans="1:10">
      <c r="A128" s="541">
        <v>110365</v>
      </c>
      <c r="B128" s="541" t="s">
        <v>1269</v>
      </c>
      <c r="C128" s="502"/>
      <c r="D128" s="544"/>
      <c r="G128" s="541" t="s">
        <v>1973</v>
      </c>
      <c r="H128" s="541" t="s">
        <v>1834</v>
      </c>
      <c r="I128" s="574"/>
    </row>
    <row r="129" spans="1:10">
      <c r="A129" s="541">
        <v>110365002</v>
      </c>
      <c r="B129" s="541" t="s">
        <v>1270</v>
      </c>
      <c r="C129" s="574">
        <v>35576147</v>
      </c>
      <c r="G129" s="541" t="s">
        <v>2517</v>
      </c>
      <c r="H129" s="541" t="s">
        <v>1835</v>
      </c>
      <c r="I129" s="502">
        <v>75260090</v>
      </c>
      <c r="J129" s="644">
        <v>75260090</v>
      </c>
    </row>
    <row r="130" spans="1:10">
      <c r="A130" s="541">
        <v>110365003</v>
      </c>
      <c r="B130" s="541" t="s">
        <v>1271</v>
      </c>
      <c r="C130" s="574">
        <v>44953345</v>
      </c>
      <c r="D130" s="544"/>
      <c r="G130" s="541" t="s">
        <v>1973</v>
      </c>
      <c r="H130" s="541" t="s">
        <v>1834</v>
      </c>
      <c r="I130" s="574">
        <v>75260090</v>
      </c>
      <c r="J130" s="644">
        <v>75260090</v>
      </c>
    </row>
    <row r="131" spans="1:10">
      <c r="A131" s="541">
        <v>110365</v>
      </c>
      <c r="B131" s="541" t="s">
        <v>1269</v>
      </c>
      <c r="C131" s="502">
        <v>80529492</v>
      </c>
      <c r="D131" s="544"/>
      <c r="G131" s="541" t="s">
        <v>1221</v>
      </c>
      <c r="H131" s="541" t="s">
        <v>1222</v>
      </c>
      <c r="I131" s="574">
        <v>14994903716</v>
      </c>
      <c r="J131" s="523">
        <v>14994903716</v>
      </c>
    </row>
    <row r="132" spans="1:10">
      <c r="A132" s="541">
        <v>110391</v>
      </c>
      <c r="B132" s="541" t="s">
        <v>1834</v>
      </c>
      <c r="C132" s="574"/>
      <c r="G132" s="541" t="s">
        <v>1175</v>
      </c>
      <c r="H132" s="541" t="s">
        <v>1176</v>
      </c>
      <c r="I132" s="502">
        <v>25153821375</v>
      </c>
      <c r="J132" s="644">
        <v>25153821375</v>
      </c>
    </row>
    <row r="133" spans="1:10">
      <c r="A133" s="541">
        <v>110391001</v>
      </c>
      <c r="B133" s="541" t="s">
        <v>1835</v>
      </c>
      <c r="C133" s="574">
        <v>75260090</v>
      </c>
      <c r="D133" s="544"/>
      <c r="G133" s="541" t="s">
        <v>1272</v>
      </c>
      <c r="H133" s="541" t="s">
        <v>1273</v>
      </c>
      <c r="I133" s="574"/>
      <c r="J133" s="544"/>
    </row>
    <row r="134" spans="1:10">
      <c r="A134" s="541">
        <v>110391</v>
      </c>
      <c r="B134" s="541" t="s">
        <v>1834</v>
      </c>
      <c r="C134" s="502">
        <v>75260090</v>
      </c>
      <c r="D134" s="544"/>
      <c r="G134" s="541" t="s">
        <v>1274</v>
      </c>
      <c r="H134" s="541" t="s">
        <v>1275</v>
      </c>
      <c r="I134" s="574"/>
    </row>
    <row r="135" spans="1:10">
      <c r="A135" s="541">
        <v>1103</v>
      </c>
      <c r="B135" s="541" t="s">
        <v>1222</v>
      </c>
      <c r="C135" s="574">
        <v>14994903716</v>
      </c>
      <c r="G135" s="541" t="s">
        <v>1276</v>
      </c>
      <c r="H135" s="541" t="s">
        <v>1277</v>
      </c>
      <c r="I135" s="574"/>
      <c r="J135" s="544"/>
    </row>
    <row r="136" spans="1:10">
      <c r="A136" s="541">
        <v>11</v>
      </c>
      <c r="B136" s="541" t="s">
        <v>1176</v>
      </c>
      <c r="C136" s="574">
        <v>25153821375</v>
      </c>
      <c r="D136" s="544"/>
      <c r="G136" s="541" t="s">
        <v>1974</v>
      </c>
      <c r="H136" s="541" t="s">
        <v>1278</v>
      </c>
      <c r="I136" s="502">
        <v>1650118778</v>
      </c>
      <c r="J136" s="644">
        <v>1650118778</v>
      </c>
    </row>
    <row r="137" spans="1:10">
      <c r="A137" s="541" t="s">
        <v>1272</v>
      </c>
      <c r="B137" s="541" t="s">
        <v>1273</v>
      </c>
      <c r="C137" s="542">
        <f>+C135-C134</f>
        <v>14919643626</v>
      </c>
      <c r="D137" s="544"/>
      <c r="G137" s="541" t="s">
        <v>1975</v>
      </c>
      <c r="H137" s="541" t="s">
        <v>1279</v>
      </c>
      <c r="I137" s="574">
        <v>-1109386264</v>
      </c>
      <c r="J137" s="644">
        <v>-1109386264</v>
      </c>
    </row>
    <row r="138" spans="1:10">
      <c r="A138" s="541" t="s">
        <v>1274</v>
      </c>
      <c r="B138" s="541" t="s">
        <v>1275</v>
      </c>
      <c r="C138" s="542"/>
      <c r="D138" s="544"/>
      <c r="G138" s="541" t="s">
        <v>1276</v>
      </c>
      <c r="H138" s="541" t="s">
        <v>1277</v>
      </c>
      <c r="I138" s="574">
        <v>540732514</v>
      </c>
      <c r="J138" s="644">
        <v>540732514</v>
      </c>
    </row>
    <row r="139" spans="1:10">
      <c r="A139" s="541" t="s">
        <v>1276</v>
      </c>
      <c r="B139" s="541" t="s">
        <v>1277</v>
      </c>
      <c r="D139" s="544"/>
      <c r="G139" s="541" t="s">
        <v>1976</v>
      </c>
      <c r="H139" s="541" t="s">
        <v>1280</v>
      </c>
      <c r="I139" s="574"/>
      <c r="J139" s="544"/>
    </row>
    <row r="140" spans="1:10">
      <c r="A140" s="541">
        <v>120101001</v>
      </c>
      <c r="B140" s="541" t="s">
        <v>1278</v>
      </c>
      <c r="C140" s="574">
        <v>1650118778</v>
      </c>
      <c r="D140" s="544"/>
      <c r="G140" s="541" t="s">
        <v>1977</v>
      </c>
      <c r="H140" s="541" t="s">
        <v>969</v>
      </c>
      <c r="I140" s="574">
        <v>449540485</v>
      </c>
      <c r="J140" s="523">
        <v>449540485</v>
      </c>
    </row>
    <row r="141" spans="1:10">
      <c r="A141" s="541">
        <v>120101211</v>
      </c>
      <c r="B141" s="541" t="s">
        <v>1279</v>
      </c>
      <c r="C141" s="574">
        <v>-1109386264</v>
      </c>
      <c r="G141" s="541" t="s">
        <v>1978</v>
      </c>
      <c r="H141" s="541" t="s">
        <v>1281</v>
      </c>
      <c r="I141" s="502">
        <v>-403466864</v>
      </c>
      <c r="J141" s="523">
        <v>-403466864</v>
      </c>
    </row>
    <row r="142" spans="1:10">
      <c r="A142" s="541">
        <v>120101</v>
      </c>
      <c r="B142" s="541" t="s">
        <v>1277</v>
      </c>
      <c r="C142" s="574">
        <v>540732514</v>
      </c>
      <c r="G142" s="541" t="s">
        <v>1976</v>
      </c>
      <c r="H142" s="541" t="s">
        <v>1280</v>
      </c>
      <c r="I142" s="502">
        <v>46073621</v>
      </c>
      <c r="J142" s="523">
        <v>46073621</v>
      </c>
    </row>
    <row r="143" spans="1:10">
      <c r="A143" s="541">
        <v>120102</v>
      </c>
      <c r="B143" s="541" t="s">
        <v>1280</v>
      </c>
      <c r="C143" s="502"/>
      <c r="G143" s="541" t="s">
        <v>1979</v>
      </c>
      <c r="H143" s="541" t="s">
        <v>1282</v>
      </c>
      <c r="J143" s="544"/>
    </row>
    <row r="144" spans="1:10">
      <c r="A144" s="541">
        <v>120102001</v>
      </c>
      <c r="B144" s="541" t="s">
        <v>969</v>
      </c>
      <c r="C144" s="502">
        <v>449540485</v>
      </c>
      <c r="D144" s="544"/>
      <c r="G144" s="541" t="s">
        <v>1980</v>
      </c>
      <c r="H144" s="541" t="s">
        <v>913</v>
      </c>
      <c r="I144" s="574">
        <v>388141356</v>
      </c>
      <c r="J144" s="644">
        <v>388141356</v>
      </c>
    </row>
    <row r="145" spans="1:10">
      <c r="A145" s="541">
        <v>120102002</v>
      </c>
      <c r="B145" s="541" t="s">
        <v>1281</v>
      </c>
      <c r="C145" s="502">
        <v>-403466864</v>
      </c>
      <c r="D145" s="544"/>
      <c r="G145" s="541" t="s">
        <v>1981</v>
      </c>
      <c r="H145" s="541" t="s">
        <v>1283</v>
      </c>
      <c r="I145" s="574">
        <v>-349472789</v>
      </c>
      <c r="J145" s="644">
        <v>-349472789</v>
      </c>
    </row>
    <row r="146" spans="1:10">
      <c r="A146" s="541">
        <v>120102</v>
      </c>
      <c r="B146" s="541" t="s">
        <v>1280</v>
      </c>
      <c r="C146" s="574">
        <v>46073621</v>
      </c>
      <c r="D146" s="544"/>
      <c r="G146" s="541" t="s">
        <v>1979</v>
      </c>
      <c r="H146" s="541" t="s">
        <v>1282</v>
      </c>
      <c r="I146" s="574">
        <v>38668567</v>
      </c>
      <c r="J146" s="523">
        <v>38668567</v>
      </c>
    </row>
    <row r="147" spans="1:10">
      <c r="A147" s="541">
        <v>120103</v>
      </c>
      <c r="B147" s="541" t="s">
        <v>1282</v>
      </c>
      <c r="C147" s="574"/>
      <c r="G147" s="541" t="s">
        <v>1982</v>
      </c>
      <c r="H147" s="541" t="s">
        <v>1284</v>
      </c>
      <c r="J147" s="544"/>
    </row>
    <row r="148" spans="1:10">
      <c r="A148" s="541">
        <v>120103001</v>
      </c>
      <c r="B148" s="541" t="s">
        <v>913</v>
      </c>
      <c r="C148" s="574">
        <v>388141356</v>
      </c>
      <c r="D148" s="544"/>
      <c r="G148" s="541" t="s">
        <v>1983</v>
      </c>
      <c r="H148" s="541" t="s">
        <v>320</v>
      </c>
      <c r="I148" s="574">
        <v>858888521</v>
      </c>
      <c r="J148" s="644">
        <v>858888521</v>
      </c>
    </row>
    <row r="149" spans="1:10">
      <c r="A149" s="541">
        <v>120103002</v>
      </c>
      <c r="B149" s="541" t="s">
        <v>1283</v>
      </c>
      <c r="C149" s="502">
        <v>-349472789</v>
      </c>
      <c r="D149" s="544"/>
      <c r="G149" s="541" t="s">
        <v>1984</v>
      </c>
      <c r="H149" s="541" t="s">
        <v>1285</v>
      </c>
      <c r="I149" s="574">
        <v>-434501953</v>
      </c>
      <c r="J149" s="644">
        <v>-434501953</v>
      </c>
    </row>
    <row r="150" spans="1:10">
      <c r="A150" s="541">
        <v>120103</v>
      </c>
      <c r="B150" s="541" t="s">
        <v>1282</v>
      </c>
      <c r="C150" s="574">
        <v>38668567</v>
      </c>
      <c r="D150" s="544"/>
      <c r="G150" s="541" t="s">
        <v>1982</v>
      </c>
      <c r="H150" s="541" t="s">
        <v>1284</v>
      </c>
      <c r="I150" s="574">
        <v>424386568</v>
      </c>
      <c r="J150" s="523">
        <v>424386568</v>
      </c>
    </row>
    <row r="151" spans="1:10">
      <c r="A151" s="541">
        <v>120111</v>
      </c>
      <c r="B151" s="541" t="s">
        <v>1284</v>
      </c>
      <c r="C151" s="574"/>
      <c r="G151" s="541" t="s">
        <v>1985</v>
      </c>
      <c r="H151" s="541" t="s">
        <v>1286</v>
      </c>
      <c r="J151" s="544"/>
    </row>
    <row r="152" spans="1:10">
      <c r="A152" s="541">
        <v>120111001</v>
      </c>
      <c r="B152" s="541" t="s">
        <v>320</v>
      </c>
      <c r="C152" s="574">
        <v>858888521</v>
      </c>
      <c r="D152" s="544"/>
      <c r="G152" s="541" t="s">
        <v>1986</v>
      </c>
      <c r="H152" s="541" t="s">
        <v>1287</v>
      </c>
      <c r="I152" s="574">
        <v>311765700</v>
      </c>
      <c r="J152" s="644">
        <v>311765700</v>
      </c>
    </row>
    <row r="153" spans="1:10">
      <c r="A153" s="541">
        <v>120111010</v>
      </c>
      <c r="B153" s="541" t="s">
        <v>1285</v>
      </c>
      <c r="C153" s="502">
        <v>-434501953</v>
      </c>
      <c r="D153" s="544"/>
      <c r="G153" s="541" t="s">
        <v>1987</v>
      </c>
      <c r="H153" s="541" t="s">
        <v>1288</v>
      </c>
      <c r="I153" s="574">
        <v>-185129669</v>
      </c>
      <c r="J153" s="644">
        <v>-185129669</v>
      </c>
    </row>
    <row r="154" spans="1:10">
      <c r="A154" s="541">
        <v>120111</v>
      </c>
      <c r="B154" s="541" t="s">
        <v>1284</v>
      </c>
      <c r="C154" s="574">
        <v>424386568</v>
      </c>
      <c r="D154" s="544"/>
      <c r="G154" s="541" t="s">
        <v>1988</v>
      </c>
      <c r="H154" s="541" t="s">
        <v>1755</v>
      </c>
      <c r="I154" s="574">
        <v>1802900347</v>
      </c>
      <c r="J154" s="644">
        <v>1802900347</v>
      </c>
    </row>
    <row r="155" spans="1:10">
      <c r="A155" s="541">
        <v>120115</v>
      </c>
      <c r="B155" s="541" t="s">
        <v>1286</v>
      </c>
      <c r="C155" s="502"/>
      <c r="D155" s="544"/>
      <c r="G155" s="541" t="s">
        <v>1989</v>
      </c>
      <c r="H155" s="541" t="s">
        <v>1289</v>
      </c>
      <c r="I155" s="502">
        <v>-369651128</v>
      </c>
      <c r="J155" s="644">
        <v>-369651128</v>
      </c>
    </row>
    <row r="156" spans="1:10">
      <c r="A156" s="541">
        <v>120115011</v>
      </c>
      <c r="B156" s="541" t="s">
        <v>1287</v>
      </c>
      <c r="C156" s="574">
        <v>311765700</v>
      </c>
      <c r="D156" s="544"/>
      <c r="G156" s="541" t="s">
        <v>1990</v>
      </c>
      <c r="H156" s="541" t="s">
        <v>1836</v>
      </c>
      <c r="I156" s="574">
        <v>4896000000</v>
      </c>
      <c r="J156" s="523">
        <v>4896000000</v>
      </c>
    </row>
    <row r="157" spans="1:10">
      <c r="A157" s="541">
        <v>120115012</v>
      </c>
      <c r="B157" s="541" t="s">
        <v>1288</v>
      </c>
      <c r="C157" s="574">
        <v>-185129669</v>
      </c>
      <c r="G157" s="541" t="s">
        <v>1985</v>
      </c>
      <c r="H157" s="541" t="s">
        <v>1286</v>
      </c>
      <c r="I157" s="574">
        <v>6455885250</v>
      </c>
      <c r="J157" s="644">
        <v>6455885250</v>
      </c>
    </row>
    <row r="158" spans="1:10">
      <c r="A158" s="541">
        <v>120115013</v>
      </c>
      <c r="B158" s="541" t="s">
        <v>1755</v>
      </c>
      <c r="C158" s="574">
        <v>1802900347</v>
      </c>
      <c r="D158" s="544"/>
      <c r="G158" s="541" t="s">
        <v>1991</v>
      </c>
      <c r="H158" s="541" t="s">
        <v>1290</v>
      </c>
      <c r="I158" s="574"/>
      <c r="J158" s="544"/>
    </row>
    <row r="159" spans="1:10">
      <c r="A159" s="541">
        <v>120115014</v>
      </c>
      <c r="B159" s="541" t="s">
        <v>1289</v>
      </c>
      <c r="C159" s="574">
        <v>-369651128</v>
      </c>
      <c r="D159" s="544"/>
      <c r="G159" s="541" t="s">
        <v>1992</v>
      </c>
      <c r="H159" s="541" t="s">
        <v>1291</v>
      </c>
      <c r="I159" s="502">
        <v>214933425</v>
      </c>
      <c r="J159" s="644">
        <v>214933425</v>
      </c>
    </row>
    <row r="160" spans="1:10">
      <c r="A160" s="607"/>
      <c r="B160" s="607" t="s">
        <v>1836</v>
      </c>
      <c r="C160" s="626">
        <v>4896000000</v>
      </c>
      <c r="D160" s="544"/>
      <c r="G160" s="541" t="s">
        <v>1993</v>
      </c>
      <c r="H160" s="541" t="s">
        <v>1292</v>
      </c>
      <c r="I160" s="574">
        <v>-172989364</v>
      </c>
      <c r="J160" s="523">
        <v>-172989364</v>
      </c>
    </row>
    <row r="161" spans="1:10">
      <c r="A161" s="541">
        <v>120115</v>
      </c>
      <c r="B161" s="541" t="s">
        <v>1286</v>
      </c>
      <c r="C161" s="574">
        <v>6455885250</v>
      </c>
      <c r="G161" s="541" t="s">
        <v>1991</v>
      </c>
      <c r="H161" s="541" t="s">
        <v>1290</v>
      </c>
      <c r="I161" s="574">
        <v>41944061</v>
      </c>
      <c r="J161" s="644">
        <v>41944061</v>
      </c>
    </row>
    <row r="162" spans="1:10">
      <c r="A162" s="541">
        <v>120117</v>
      </c>
      <c r="B162" s="541" t="s">
        <v>1290</v>
      </c>
      <c r="C162" s="502"/>
      <c r="D162" s="544"/>
      <c r="G162" s="541" t="s">
        <v>1994</v>
      </c>
      <c r="H162" s="541" t="s">
        <v>1293</v>
      </c>
      <c r="I162" s="574"/>
      <c r="J162" s="544"/>
    </row>
    <row r="163" spans="1:10">
      <c r="A163" s="541">
        <v>120117001</v>
      </c>
      <c r="B163" s="541" t="s">
        <v>1291</v>
      </c>
      <c r="C163" s="574">
        <v>214933425</v>
      </c>
      <c r="D163" s="544"/>
      <c r="G163" s="541" t="s">
        <v>1995</v>
      </c>
      <c r="H163" s="541" t="s">
        <v>1294</v>
      </c>
      <c r="I163" s="574">
        <v>2113758527</v>
      </c>
      <c r="J163" s="644">
        <v>2113758527</v>
      </c>
    </row>
    <row r="164" spans="1:10">
      <c r="A164" s="541">
        <v>120117002</v>
      </c>
      <c r="B164" s="541" t="s">
        <v>1292</v>
      </c>
      <c r="C164" s="574">
        <v>-172989364</v>
      </c>
      <c r="D164" s="544"/>
      <c r="G164" s="541" t="s">
        <v>1994</v>
      </c>
      <c r="H164" s="541" t="s">
        <v>1293</v>
      </c>
      <c r="I164" s="574">
        <v>2113758527</v>
      </c>
      <c r="J164" s="644">
        <v>2113758527</v>
      </c>
    </row>
    <row r="165" spans="1:10">
      <c r="A165" s="541">
        <v>120117</v>
      </c>
      <c r="B165" s="541" t="s">
        <v>1290</v>
      </c>
      <c r="C165" s="574">
        <v>41944061</v>
      </c>
      <c r="D165" s="544"/>
      <c r="G165" s="541" t="s">
        <v>1996</v>
      </c>
      <c r="H165" s="541" t="s">
        <v>1295</v>
      </c>
      <c r="I165" s="502">
        <v>3876175511</v>
      </c>
      <c r="J165" s="644">
        <v>3876175511</v>
      </c>
    </row>
    <row r="166" spans="1:10">
      <c r="A166" s="541">
        <v>120119</v>
      </c>
      <c r="B166" s="541" t="s">
        <v>1293</v>
      </c>
      <c r="C166" s="502"/>
      <c r="D166" s="544"/>
      <c r="G166" s="541" t="s">
        <v>1997</v>
      </c>
      <c r="H166" s="541" t="s">
        <v>1296</v>
      </c>
      <c r="I166" s="574">
        <v>-118077911</v>
      </c>
      <c r="J166" s="523">
        <v>-118077911</v>
      </c>
    </row>
    <row r="167" spans="1:10">
      <c r="A167" s="541">
        <v>120119001</v>
      </c>
      <c r="B167" s="541" t="s">
        <v>1294</v>
      </c>
      <c r="C167" s="502">
        <v>2113758527</v>
      </c>
      <c r="G167" s="541" t="s">
        <v>1998</v>
      </c>
      <c r="H167" s="541" t="s">
        <v>1837</v>
      </c>
      <c r="I167" s="574">
        <v>48761673</v>
      </c>
      <c r="J167" s="644">
        <v>48761673</v>
      </c>
    </row>
    <row r="168" spans="1:10">
      <c r="A168" s="541">
        <v>120119</v>
      </c>
      <c r="B168" s="541" t="s">
        <v>1293</v>
      </c>
      <c r="C168" s="574">
        <v>2113758527</v>
      </c>
      <c r="D168" s="544"/>
      <c r="G168" s="541" t="s">
        <v>1274</v>
      </c>
      <c r="H168" s="541" t="s">
        <v>1275</v>
      </c>
      <c r="I168" s="574">
        <v>13468308381</v>
      </c>
      <c r="J168" s="644">
        <v>13468308381</v>
      </c>
    </row>
    <row r="169" spans="1:10">
      <c r="A169" s="541">
        <v>120120001</v>
      </c>
      <c r="B169" s="541" t="s">
        <v>1295</v>
      </c>
      <c r="C169" s="574">
        <v>3876175511</v>
      </c>
      <c r="D169" s="544"/>
      <c r="G169" s="541" t="s">
        <v>1297</v>
      </c>
      <c r="H169" s="541" t="s">
        <v>1298</v>
      </c>
      <c r="J169" s="544"/>
    </row>
    <row r="170" spans="1:10">
      <c r="A170" s="541">
        <v>120120002</v>
      </c>
      <c r="B170" s="541" t="s">
        <v>1296</v>
      </c>
      <c r="C170" s="574">
        <v>-118077911</v>
      </c>
      <c r="D170" s="544"/>
      <c r="G170" s="541" t="s">
        <v>1299</v>
      </c>
      <c r="H170" s="541" t="s">
        <v>1300</v>
      </c>
      <c r="I170" s="574"/>
    </row>
    <row r="171" spans="1:10">
      <c r="A171" s="541"/>
      <c r="B171" s="692" t="s">
        <v>1837</v>
      </c>
      <c r="C171" s="693">
        <v>48761673</v>
      </c>
      <c r="G171" s="541" t="s">
        <v>1301</v>
      </c>
      <c r="H171" s="541" t="s">
        <v>1302</v>
      </c>
      <c r="I171" s="574">
        <v>710410591</v>
      </c>
      <c r="J171" s="644">
        <v>710410591</v>
      </c>
    </row>
    <row r="172" spans="1:10">
      <c r="A172" s="541">
        <v>1201</v>
      </c>
      <c r="B172" s="541" t="s">
        <v>1275</v>
      </c>
      <c r="C172" s="502">
        <v>13468308381</v>
      </c>
      <c r="D172" s="544"/>
      <c r="G172" s="541" t="s">
        <v>1303</v>
      </c>
      <c r="H172" s="541" t="s">
        <v>1304</v>
      </c>
      <c r="I172" s="574">
        <v>-710410591</v>
      </c>
      <c r="J172" s="644">
        <v>-710410591</v>
      </c>
    </row>
    <row r="173" spans="1:10">
      <c r="A173" s="541" t="s">
        <v>1297</v>
      </c>
      <c r="B173" s="541" t="s">
        <v>1298</v>
      </c>
      <c r="C173" s="542"/>
      <c r="D173" s="544"/>
      <c r="G173" s="541" t="s">
        <v>1299</v>
      </c>
      <c r="H173" s="541" t="s">
        <v>1300</v>
      </c>
      <c r="I173" s="574" t="s">
        <v>2538</v>
      </c>
      <c r="J173" s="544" t="s">
        <v>2538</v>
      </c>
    </row>
    <row r="174" spans="1:10">
      <c r="A174" s="541" t="s">
        <v>1299</v>
      </c>
      <c r="B174" s="541" t="s">
        <v>1300</v>
      </c>
      <c r="C174" s="542"/>
      <c r="D174" s="544"/>
      <c r="G174" s="541" t="s">
        <v>1305</v>
      </c>
      <c r="H174" s="541" t="s">
        <v>1306</v>
      </c>
      <c r="I174" s="574"/>
      <c r="J174" s="544"/>
    </row>
    <row r="175" spans="1:10">
      <c r="A175" s="541" t="s">
        <v>1301</v>
      </c>
      <c r="B175" s="541" t="s">
        <v>1302</v>
      </c>
      <c r="C175" s="542">
        <v>710410591</v>
      </c>
      <c r="D175" s="544"/>
      <c r="G175" s="541" t="s">
        <v>1999</v>
      </c>
      <c r="H175" s="541" t="s">
        <v>972</v>
      </c>
      <c r="I175" s="502">
        <v>25648145</v>
      </c>
      <c r="J175" s="644">
        <v>25648145</v>
      </c>
    </row>
    <row r="176" spans="1:10">
      <c r="A176" s="541" t="s">
        <v>1303</v>
      </c>
      <c r="B176" s="541" t="s">
        <v>1304</v>
      </c>
      <c r="C176" s="543">
        <v>-710410591</v>
      </c>
      <c r="D176" s="544"/>
      <c r="G176" s="541" t="s">
        <v>2000</v>
      </c>
      <c r="H176" s="541" t="s">
        <v>973</v>
      </c>
      <c r="I176" s="502">
        <v>-25648145</v>
      </c>
      <c r="J176" s="523">
        <v>-25648145</v>
      </c>
    </row>
    <row r="177" spans="1:10">
      <c r="A177" s="541" t="s">
        <v>1299</v>
      </c>
      <c r="B177" s="541" t="s">
        <v>1300</v>
      </c>
      <c r="C177" s="542">
        <v>0</v>
      </c>
      <c r="G177" s="541" t="s">
        <v>2001</v>
      </c>
      <c r="H177" s="541" t="s">
        <v>974</v>
      </c>
      <c r="I177" s="574">
        <v>117693519</v>
      </c>
      <c r="J177" s="523">
        <v>117693519</v>
      </c>
    </row>
    <row r="178" spans="1:10">
      <c r="A178" s="541" t="s">
        <v>1305</v>
      </c>
      <c r="B178" s="541" t="s">
        <v>1306</v>
      </c>
      <c r="C178" s="542"/>
      <c r="G178" s="541" t="s">
        <v>2002</v>
      </c>
      <c r="H178" s="541" t="s">
        <v>975</v>
      </c>
      <c r="I178" s="574">
        <v>-72504407</v>
      </c>
      <c r="J178" s="644">
        <v>-72504407</v>
      </c>
    </row>
    <row r="179" spans="1:10">
      <c r="A179" s="541">
        <v>121112001</v>
      </c>
      <c r="B179" s="541" t="s">
        <v>972</v>
      </c>
      <c r="C179" s="502">
        <v>25648145</v>
      </c>
      <c r="D179" s="544"/>
      <c r="G179" s="541" t="s">
        <v>2003</v>
      </c>
      <c r="H179" s="541" t="s">
        <v>976</v>
      </c>
      <c r="I179" s="574">
        <v>30909093</v>
      </c>
      <c r="J179" s="644">
        <v>30909093</v>
      </c>
    </row>
    <row r="180" spans="1:10">
      <c r="A180" s="541">
        <v>121112002</v>
      </c>
      <c r="B180" s="541" t="s">
        <v>973</v>
      </c>
      <c r="C180" s="574">
        <v>-25648145</v>
      </c>
      <c r="D180" s="544"/>
      <c r="G180" s="541" t="s">
        <v>2004</v>
      </c>
      <c r="H180" s="541" t="s">
        <v>977</v>
      </c>
      <c r="I180" s="502">
        <v>-16619680</v>
      </c>
      <c r="J180" s="644">
        <v>-16619680</v>
      </c>
    </row>
    <row r="181" spans="1:10">
      <c r="A181" s="541">
        <v>121112003</v>
      </c>
      <c r="B181" s="541" t="s">
        <v>974</v>
      </c>
      <c r="C181" s="574">
        <v>117693519</v>
      </c>
      <c r="D181" s="544"/>
      <c r="G181" s="541" t="s">
        <v>1305</v>
      </c>
      <c r="H181" s="541" t="s">
        <v>1306</v>
      </c>
      <c r="I181" s="574">
        <v>59478525</v>
      </c>
      <c r="J181" s="523">
        <v>59478525</v>
      </c>
    </row>
    <row r="182" spans="1:10">
      <c r="A182" s="541">
        <v>121112004</v>
      </c>
      <c r="B182" s="541" t="s">
        <v>975</v>
      </c>
      <c r="C182" s="574">
        <v>-72504407</v>
      </c>
      <c r="G182" s="541" t="s">
        <v>1307</v>
      </c>
      <c r="H182" s="541" t="s">
        <v>1308</v>
      </c>
      <c r="I182" s="574"/>
      <c r="J182" s="544"/>
    </row>
    <row r="183" spans="1:10">
      <c r="A183" s="541">
        <v>121112011</v>
      </c>
      <c r="B183" s="541" t="s">
        <v>976</v>
      </c>
      <c r="C183" s="502">
        <v>30909093</v>
      </c>
      <c r="D183" s="544"/>
      <c r="G183" s="541" t="s">
        <v>2005</v>
      </c>
      <c r="H183" s="541" t="s">
        <v>978</v>
      </c>
      <c r="I183" s="574">
        <v>42811642</v>
      </c>
      <c r="J183" s="644">
        <v>42811642</v>
      </c>
    </row>
    <row r="184" spans="1:10">
      <c r="A184" s="541">
        <v>121112012</v>
      </c>
      <c r="B184" s="541" t="s">
        <v>977</v>
      </c>
      <c r="C184" s="574">
        <v>-16619680</v>
      </c>
      <c r="D184" s="544"/>
      <c r="G184" s="541" t="s">
        <v>2006</v>
      </c>
      <c r="H184" s="541" t="s">
        <v>1366</v>
      </c>
      <c r="I184" s="574">
        <v>194909057</v>
      </c>
      <c r="J184" s="644">
        <v>194909057</v>
      </c>
    </row>
    <row r="185" spans="1:10">
      <c r="A185" s="541">
        <v>121112</v>
      </c>
      <c r="B185" s="541" t="s">
        <v>1306</v>
      </c>
      <c r="C185" s="574">
        <v>59478525</v>
      </c>
      <c r="D185" s="544"/>
      <c r="G185" s="541" t="s">
        <v>2007</v>
      </c>
      <c r="H185" s="541" t="s">
        <v>1833</v>
      </c>
      <c r="I185" s="574">
        <v>400000000</v>
      </c>
      <c r="J185" s="644">
        <v>400000000</v>
      </c>
    </row>
    <row r="186" spans="1:10">
      <c r="A186" s="541" t="s">
        <v>1307</v>
      </c>
      <c r="B186" s="541" t="s">
        <v>1308</v>
      </c>
      <c r="C186" s="502"/>
      <c r="D186" s="544"/>
      <c r="G186" s="541" t="s">
        <v>1307</v>
      </c>
      <c r="H186" s="541" t="s">
        <v>1308</v>
      </c>
      <c r="I186" s="574">
        <v>637720699</v>
      </c>
      <c r="J186" s="644">
        <v>637720699</v>
      </c>
    </row>
    <row r="187" spans="1:10">
      <c r="A187" s="541">
        <v>121113003</v>
      </c>
      <c r="B187" s="541" t="s">
        <v>978</v>
      </c>
      <c r="C187" s="574">
        <v>42811642</v>
      </c>
      <c r="D187" s="544"/>
      <c r="G187" s="541" t="s">
        <v>1297</v>
      </c>
      <c r="H187" s="541" t="s">
        <v>1298</v>
      </c>
      <c r="I187" s="574">
        <v>697199224</v>
      </c>
      <c r="J187" s="523">
        <v>697199224</v>
      </c>
    </row>
    <row r="188" spans="1:10">
      <c r="A188" s="607">
        <v>121113005</v>
      </c>
      <c r="B188" s="607" t="s">
        <v>1366</v>
      </c>
      <c r="C188" s="626">
        <v>194909057</v>
      </c>
      <c r="G188" s="541" t="s">
        <v>1272</v>
      </c>
      <c r="H188" s="541" t="s">
        <v>1273</v>
      </c>
      <c r="I188" s="502">
        <v>14165507605</v>
      </c>
      <c r="J188" s="644">
        <v>14165507605</v>
      </c>
    </row>
    <row r="189" spans="1:10">
      <c r="A189" s="692"/>
      <c r="B189" s="692"/>
      <c r="C189" s="693">
        <v>400000000</v>
      </c>
      <c r="D189" s="544"/>
      <c r="E189" s="523">
        <f>+C193-'Calc.Aux.'!G8-'Calc.Aux.'!G19-'Calc.Aux.'!G69-'Calc.Aux.'!G129-'Calc.Aux.'!G140</f>
        <v>2610877544</v>
      </c>
      <c r="G189" s="541" t="s">
        <v>1174</v>
      </c>
      <c r="H189" s="541" t="s">
        <v>484</v>
      </c>
      <c r="I189" s="574">
        <v>39319328980</v>
      </c>
      <c r="J189" s="644">
        <v>39319328980</v>
      </c>
    </row>
    <row r="190" spans="1:10">
      <c r="A190" s="541">
        <v>121113</v>
      </c>
      <c r="B190" s="541" t="s">
        <v>1308</v>
      </c>
      <c r="C190" s="574">
        <v>637720699</v>
      </c>
      <c r="D190" s="544"/>
      <c r="E190" s="407">
        <f>+E189-C12-C35-C38-C47</f>
        <v>42539350</v>
      </c>
      <c r="G190" s="541" t="s">
        <v>1309</v>
      </c>
      <c r="H190" s="541" t="s">
        <v>1310</v>
      </c>
      <c r="I190" s="574"/>
      <c r="J190" s="544"/>
    </row>
    <row r="191" spans="1:10">
      <c r="A191" s="541">
        <v>1211</v>
      </c>
      <c r="B191" s="541" t="s">
        <v>1298</v>
      </c>
      <c r="C191" s="574">
        <v>697199224</v>
      </c>
      <c r="D191" s="544"/>
      <c r="G191" s="541"/>
      <c r="H191" s="541"/>
      <c r="I191" s="574"/>
      <c r="J191" s="544"/>
    </row>
    <row r="192" spans="1:10">
      <c r="A192" s="541">
        <v>12</v>
      </c>
      <c r="B192" s="541" t="s">
        <v>1273</v>
      </c>
      <c r="C192" s="574">
        <v>14165507605</v>
      </c>
      <c r="D192" s="544"/>
      <c r="G192" s="541"/>
      <c r="H192" s="541"/>
      <c r="I192" s="574"/>
      <c r="J192" s="544"/>
    </row>
    <row r="193" spans="1:10">
      <c r="A193" s="541">
        <v>1</v>
      </c>
      <c r="B193" s="541" t="s">
        <v>484</v>
      </c>
      <c r="C193" s="574">
        <v>39319328980</v>
      </c>
      <c r="D193" s="544"/>
      <c r="G193" s="541"/>
      <c r="H193" s="541"/>
      <c r="I193" s="574"/>
      <c r="J193" s="544"/>
    </row>
    <row r="194" spans="1:10">
      <c r="A194" s="541" t="s">
        <v>1309</v>
      </c>
      <c r="B194" s="541" t="s">
        <v>1310</v>
      </c>
      <c r="C194" s="542"/>
      <c r="D194" s="544"/>
      <c r="G194" s="541"/>
      <c r="H194" s="541"/>
      <c r="I194" s="574"/>
      <c r="J194" s="544"/>
    </row>
    <row r="195" spans="1:10">
      <c r="A195" s="541" t="s">
        <v>1311</v>
      </c>
      <c r="B195" s="541" t="s">
        <v>487</v>
      </c>
      <c r="C195" s="542"/>
      <c r="G195" s="541" t="s">
        <v>1311</v>
      </c>
      <c r="H195" s="541" t="s">
        <v>487</v>
      </c>
      <c r="I195" s="574"/>
      <c r="J195" s="544"/>
    </row>
    <row r="196" spans="1:10">
      <c r="A196" s="541" t="s">
        <v>1312</v>
      </c>
      <c r="B196" s="541" t="s">
        <v>1313</v>
      </c>
      <c r="C196" s="542"/>
      <c r="G196" s="541" t="s">
        <v>1312</v>
      </c>
      <c r="H196" s="541" t="s">
        <v>1313</v>
      </c>
      <c r="I196" s="574"/>
      <c r="J196" s="544"/>
    </row>
    <row r="197" spans="1:10">
      <c r="A197" s="541" t="s">
        <v>1314</v>
      </c>
      <c r="B197" s="541" t="s">
        <v>1315</v>
      </c>
      <c r="C197" s="542"/>
      <c r="G197" s="541" t="s">
        <v>1314</v>
      </c>
      <c r="H197" s="541" t="s">
        <v>1315</v>
      </c>
      <c r="I197" s="574"/>
      <c r="J197" s="544"/>
    </row>
    <row r="198" spans="1:10">
      <c r="A198" s="541" t="s">
        <v>1316</v>
      </c>
      <c r="B198" s="541" t="s">
        <v>1317</v>
      </c>
      <c r="C198" s="574">
        <v>-17373186</v>
      </c>
      <c r="G198" s="541" t="s">
        <v>1316</v>
      </c>
      <c r="H198" s="541" t="s">
        <v>1317</v>
      </c>
      <c r="I198" s="502">
        <v>-17373186</v>
      </c>
      <c r="J198" s="523">
        <v>-17373186</v>
      </c>
    </row>
    <row r="199" spans="1:10">
      <c r="A199" s="541" t="s">
        <v>1318</v>
      </c>
      <c r="B199" s="541" t="s">
        <v>1319</v>
      </c>
      <c r="C199" s="574">
        <v>-3341940</v>
      </c>
      <c r="G199" s="541" t="s">
        <v>1318</v>
      </c>
      <c r="H199" s="541" t="s">
        <v>1319</v>
      </c>
      <c r="I199" s="502">
        <v>-3341940</v>
      </c>
      <c r="J199" s="523">
        <v>-3341940</v>
      </c>
    </row>
    <row r="200" spans="1:10">
      <c r="A200" s="541" t="s">
        <v>1320</v>
      </c>
      <c r="B200" s="541" t="s">
        <v>1321</v>
      </c>
      <c r="C200" s="574">
        <v>-3083004405</v>
      </c>
      <c r="G200" s="541" t="s">
        <v>1320</v>
      </c>
      <c r="H200" s="541" t="s">
        <v>1321</v>
      </c>
      <c r="I200" s="502">
        <v>-3083004405</v>
      </c>
      <c r="J200" s="523">
        <v>-3083004405</v>
      </c>
    </row>
    <row r="201" spans="1:10">
      <c r="A201" s="541" t="s">
        <v>1756</v>
      </c>
      <c r="B201" s="541" t="s">
        <v>1757</v>
      </c>
      <c r="C201" s="574">
        <v>-3881409</v>
      </c>
      <c r="D201" s="544"/>
      <c r="G201" s="541" t="s">
        <v>1756</v>
      </c>
      <c r="H201" s="541" t="s">
        <v>1757</v>
      </c>
      <c r="I201" s="502">
        <v>-3881409</v>
      </c>
      <c r="J201" s="523">
        <v>-3881409</v>
      </c>
    </row>
    <row r="202" spans="1:10">
      <c r="A202" s="541" t="s">
        <v>1758</v>
      </c>
      <c r="B202" s="541" t="s">
        <v>1759</v>
      </c>
      <c r="C202" s="574">
        <v>17430196</v>
      </c>
      <c r="D202" s="544"/>
      <c r="G202" s="541" t="s">
        <v>1758</v>
      </c>
      <c r="H202" s="541" t="s">
        <v>1759</v>
      </c>
      <c r="I202" s="502">
        <v>17430196</v>
      </c>
      <c r="J202" s="644">
        <v>17430196</v>
      </c>
    </row>
    <row r="203" spans="1:10">
      <c r="A203" s="541" t="s">
        <v>1760</v>
      </c>
      <c r="B203" s="541" t="s">
        <v>1761</v>
      </c>
      <c r="C203" s="574">
        <v>-84878203</v>
      </c>
      <c r="D203" s="544"/>
      <c r="G203" s="541" t="s">
        <v>1760</v>
      </c>
      <c r="H203" s="541" t="s">
        <v>1761</v>
      </c>
      <c r="I203" s="574">
        <v>-84878203</v>
      </c>
      <c r="J203" s="644">
        <v>-84878203</v>
      </c>
    </row>
    <row r="204" spans="1:10">
      <c r="A204" s="541" t="s">
        <v>1322</v>
      </c>
      <c r="B204" s="541" t="s">
        <v>1323</v>
      </c>
      <c r="C204" s="574">
        <v>-231338987</v>
      </c>
      <c r="D204" s="544"/>
      <c r="G204" s="541" t="s">
        <v>1322</v>
      </c>
      <c r="H204" s="541" t="s">
        <v>1323</v>
      </c>
      <c r="I204" s="574">
        <v>-231338987</v>
      </c>
      <c r="J204" s="644">
        <v>-231338987</v>
      </c>
    </row>
    <row r="205" spans="1:10">
      <c r="A205" s="541" t="s">
        <v>1324</v>
      </c>
      <c r="B205" s="541" t="s">
        <v>1325</v>
      </c>
      <c r="C205" s="574">
        <v>-166646484</v>
      </c>
      <c r="D205" s="544"/>
      <c r="G205" s="541" t="s">
        <v>1324</v>
      </c>
      <c r="H205" s="541" t="s">
        <v>1325</v>
      </c>
      <c r="I205" s="574">
        <v>-166646484</v>
      </c>
      <c r="J205" s="644">
        <v>-166646484</v>
      </c>
    </row>
    <row r="206" spans="1:10">
      <c r="A206" s="541" t="s">
        <v>1762</v>
      </c>
      <c r="B206" s="541" t="s">
        <v>1763</v>
      </c>
      <c r="C206" s="574">
        <v>32512897</v>
      </c>
      <c r="D206" s="544"/>
      <c r="G206" s="541" t="s">
        <v>1762</v>
      </c>
      <c r="H206" s="541" t="s">
        <v>1763</v>
      </c>
      <c r="I206" s="574">
        <v>32512897</v>
      </c>
      <c r="J206" s="644">
        <v>32512897</v>
      </c>
    </row>
    <row r="207" spans="1:10">
      <c r="A207" s="541">
        <v>210101100</v>
      </c>
      <c r="B207" s="541" t="s">
        <v>996</v>
      </c>
      <c r="C207" s="574">
        <v>-24072000</v>
      </c>
      <c r="D207" s="544"/>
      <c r="G207" s="541" t="s">
        <v>1838</v>
      </c>
      <c r="H207" s="541" t="s">
        <v>996</v>
      </c>
      <c r="I207" s="574">
        <v>-24072000</v>
      </c>
      <c r="J207" s="644">
        <v>-24072000</v>
      </c>
    </row>
    <row r="208" spans="1:10">
      <c r="A208" s="541">
        <v>210101101</v>
      </c>
      <c r="B208" s="541" t="s">
        <v>997</v>
      </c>
      <c r="C208" s="574">
        <v>-28095026</v>
      </c>
      <c r="G208" s="541" t="s">
        <v>1839</v>
      </c>
      <c r="H208" s="541" t="s">
        <v>997</v>
      </c>
      <c r="I208" s="574">
        <v>-28095026</v>
      </c>
      <c r="J208" s="644">
        <v>-28095026</v>
      </c>
    </row>
    <row r="209" spans="1:10">
      <c r="A209" s="541" t="s">
        <v>1840</v>
      </c>
      <c r="B209" s="541" t="s">
        <v>1841</v>
      </c>
      <c r="C209" s="574">
        <v>-2121218036</v>
      </c>
      <c r="D209" s="544"/>
      <c r="G209" s="541" t="s">
        <v>1840</v>
      </c>
      <c r="H209" s="541" t="s">
        <v>1841</v>
      </c>
      <c r="I209" s="574">
        <v>-2121218036</v>
      </c>
      <c r="J209" s="523">
        <v>-2121218036</v>
      </c>
    </row>
    <row r="210" spans="1:10">
      <c r="A210" s="541" t="s">
        <v>1326</v>
      </c>
      <c r="B210" s="541" t="s">
        <v>1327</v>
      </c>
      <c r="C210" s="574">
        <v>-1617094753</v>
      </c>
      <c r="D210" s="544"/>
      <c r="G210" s="541" t="s">
        <v>1326</v>
      </c>
      <c r="H210" s="541" t="s">
        <v>1327</v>
      </c>
      <c r="I210" s="574">
        <v>-1617094753</v>
      </c>
      <c r="J210" s="644">
        <v>-1617094753</v>
      </c>
    </row>
    <row r="211" spans="1:10">
      <c r="A211" s="541" t="s">
        <v>1314</v>
      </c>
      <c r="B211" s="541" t="s">
        <v>1315</v>
      </c>
      <c r="C211" s="574">
        <v>-7331001336</v>
      </c>
      <c r="D211" s="544"/>
      <c r="G211" s="541" t="s">
        <v>1314</v>
      </c>
      <c r="H211" s="541" t="s">
        <v>1315</v>
      </c>
      <c r="I211" s="574">
        <v>-7331001336</v>
      </c>
      <c r="J211" s="644">
        <v>-7331001336</v>
      </c>
    </row>
    <row r="212" spans="1:10">
      <c r="A212" s="541" t="s">
        <v>1328</v>
      </c>
      <c r="B212" s="541" t="s">
        <v>1329</v>
      </c>
      <c r="D212" s="544"/>
      <c r="G212" s="541" t="s">
        <v>1328</v>
      </c>
      <c r="H212" s="541" t="s">
        <v>1329</v>
      </c>
      <c r="I212" s="574"/>
      <c r="J212" s="544"/>
    </row>
    <row r="213" spans="1:10">
      <c r="A213" s="541">
        <v>210111011</v>
      </c>
      <c r="B213" s="541" t="s">
        <v>896</v>
      </c>
      <c r="C213" s="574">
        <v>-65969765</v>
      </c>
      <c r="G213" s="541" t="s">
        <v>1330</v>
      </c>
      <c r="H213" s="541" t="s">
        <v>896</v>
      </c>
      <c r="I213" s="574">
        <v>-65969765</v>
      </c>
      <c r="J213" s="644">
        <v>-65969765</v>
      </c>
    </row>
    <row r="214" spans="1:10">
      <c r="A214" s="541">
        <v>210111031</v>
      </c>
      <c r="B214" s="541" t="s">
        <v>1332</v>
      </c>
      <c r="C214" s="574">
        <v>-58197458</v>
      </c>
      <c r="D214" s="544"/>
      <c r="G214" s="541" t="s">
        <v>1331</v>
      </c>
      <c r="H214" s="541" t="s">
        <v>1332</v>
      </c>
      <c r="I214" s="574">
        <v>-58197458</v>
      </c>
      <c r="J214" s="523">
        <v>-58197458</v>
      </c>
    </row>
    <row r="215" spans="1:10">
      <c r="A215" s="541">
        <v>210111033</v>
      </c>
      <c r="B215" s="541" t="s">
        <v>1334</v>
      </c>
      <c r="C215" s="574">
        <v>-62932202</v>
      </c>
      <c r="D215" s="544"/>
      <c r="G215" s="541" t="s">
        <v>1333</v>
      </c>
      <c r="H215" s="541" t="s">
        <v>1334</v>
      </c>
      <c r="I215" s="574">
        <v>-62932202</v>
      </c>
      <c r="J215" s="644">
        <v>-62932202</v>
      </c>
    </row>
    <row r="216" spans="1:10">
      <c r="A216" s="541">
        <v>210111</v>
      </c>
      <c r="B216" s="541" t="s">
        <v>1329</v>
      </c>
      <c r="C216" s="574">
        <v>-187099425</v>
      </c>
      <c r="D216" s="544"/>
      <c r="G216" s="541" t="s">
        <v>1328</v>
      </c>
      <c r="H216" s="541" t="s">
        <v>1329</v>
      </c>
      <c r="I216" s="574">
        <v>-187099425</v>
      </c>
      <c r="J216" s="644">
        <v>-187099425</v>
      </c>
    </row>
    <row r="217" spans="1:10">
      <c r="A217" s="541" t="s">
        <v>1335</v>
      </c>
      <c r="B217" s="541" t="s">
        <v>1336</v>
      </c>
      <c r="C217" s="502"/>
      <c r="G217" s="541" t="s">
        <v>1335</v>
      </c>
      <c r="H217" s="541" t="s">
        <v>1336</v>
      </c>
      <c r="I217" s="574"/>
      <c r="J217" s="544"/>
    </row>
    <row r="218" spans="1:10">
      <c r="A218" s="541">
        <v>210121009</v>
      </c>
      <c r="B218" s="541" t="s">
        <v>993</v>
      </c>
      <c r="C218" s="574">
        <v>-511</v>
      </c>
      <c r="D218" s="544"/>
      <c r="G218" s="541" t="s">
        <v>2008</v>
      </c>
      <c r="H218" s="541" t="s">
        <v>993</v>
      </c>
      <c r="I218" s="502">
        <v>-511</v>
      </c>
      <c r="J218">
        <v>-511</v>
      </c>
    </row>
    <row r="219" spans="1:10">
      <c r="A219" s="607"/>
      <c r="B219" s="607" t="s">
        <v>2067</v>
      </c>
      <c r="C219" s="626">
        <v>-106116564</v>
      </c>
      <c r="D219" s="544"/>
      <c r="G219" s="541" t="s">
        <v>2520</v>
      </c>
      <c r="H219" s="541" t="s">
        <v>2067</v>
      </c>
      <c r="I219" s="574">
        <v>-106116564</v>
      </c>
      <c r="J219" s="644">
        <v>-106116564</v>
      </c>
    </row>
    <row r="220" spans="1:10">
      <c r="A220" s="541">
        <v>210121031</v>
      </c>
      <c r="B220" s="541" t="s">
        <v>994</v>
      </c>
      <c r="C220" s="574"/>
      <c r="D220" s="544"/>
      <c r="G220" s="541" t="s">
        <v>2010</v>
      </c>
      <c r="H220" s="541" t="s">
        <v>1764</v>
      </c>
      <c r="I220" s="574">
        <v>-54024541</v>
      </c>
      <c r="J220" s="644">
        <v>-54024541</v>
      </c>
    </row>
    <row r="221" spans="1:10">
      <c r="A221" s="541">
        <v>210121041</v>
      </c>
      <c r="B221" s="541" t="s">
        <v>1764</v>
      </c>
      <c r="C221" s="574">
        <v>-54024541</v>
      </c>
      <c r="D221" s="544"/>
      <c r="G221" s="541" t="s">
        <v>1335</v>
      </c>
      <c r="H221" s="541" t="s">
        <v>1336</v>
      </c>
      <c r="I221" s="574">
        <v>-160141616</v>
      </c>
      <c r="J221" s="644">
        <v>-160141616</v>
      </c>
    </row>
    <row r="222" spans="1:10">
      <c r="A222" s="541">
        <v>210121</v>
      </c>
      <c r="B222" s="541" t="s">
        <v>1336</v>
      </c>
      <c r="C222" s="574">
        <v>-160141616</v>
      </c>
      <c r="D222" s="544"/>
      <c r="G222" s="541" t="s">
        <v>1312</v>
      </c>
      <c r="H222" s="541" t="s">
        <v>1313</v>
      </c>
      <c r="I222" s="574">
        <v>-7678242377</v>
      </c>
      <c r="J222" s="644">
        <v>-7678242377</v>
      </c>
    </row>
    <row r="223" spans="1:10">
      <c r="A223" s="541">
        <v>2101</v>
      </c>
      <c r="B223" s="541" t="s">
        <v>1313</v>
      </c>
      <c r="C223" s="574">
        <v>-7678242377</v>
      </c>
      <c r="D223" s="544"/>
      <c r="G223" s="541" t="s">
        <v>1337</v>
      </c>
      <c r="H223" s="541" t="s">
        <v>1338</v>
      </c>
      <c r="J223" s="544"/>
    </row>
    <row r="224" spans="1:10">
      <c r="A224" s="541" t="s">
        <v>1337</v>
      </c>
      <c r="B224" s="541" t="s">
        <v>1338</v>
      </c>
      <c r="C224" s="502"/>
      <c r="D224" s="544"/>
      <c r="G224" s="541"/>
      <c r="H224" s="541"/>
      <c r="J224" s="544"/>
    </row>
    <row r="225" spans="1:10">
      <c r="A225" s="541" t="s">
        <v>1339</v>
      </c>
      <c r="B225" s="541" t="s">
        <v>1340</v>
      </c>
      <c r="C225" s="574">
        <v>-53571429</v>
      </c>
      <c r="D225" s="544"/>
      <c r="G225" s="541" t="s">
        <v>1339</v>
      </c>
      <c r="H225" s="541" t="s">
        <v>1842</v>
      </c>
      <c r="I225" s="574">
        <v>-53571429</v>
      </c>
      <c r="J225" s="644">
        <v>-53571429</v>
      </c>
    </row>
    <row r="226" spans="1:10">
      <c r="A226" s="541" t="s">
        <v>1341</v>
      </c>
      <c r="B226" s="541" t="s">
        <v>1342</v>
      </c>
      <c r="C226" s="574">
        <v>-53571429</v>
      </c>
      <c r="G226" s="541" t="s">
        <v>1341</v>
      </c>
      <c r="H226" s="541" t="s">
        <v>980</v>
      </c>
      <c r="I226" s="574">
        <v>-53571429</v>
      </c>
      <c r="J226" s="644">
        <v>-53571429</v>
      </c>
    </row>
    <row r="227" spans="1:10">
      <c r="A227" s="541" t="s">
        <v>1343</v>
      </c>
      <c r="B227" s="541" t="s">
        <v>1344</v>
      </c>
      <c r="C227" s="574">
        <v>-74999997</v>
      </c>
      <c r="G227" s="541" t="s">
        <v>1343</v>
      </c>
      <c r="H227" s="541" t="s">
        <v>981</v>
      </c>
      <c r="I227" s="574">
        <v>-74999997</v>
      </c>
      <c r="J227" s="644">
        <v>-74999997</v>
      </c>
    </row>
    <row r="228" spans="1:10">
      <c r="A228" s="541" t="s">
        <v>1345</v>
      </c>
      <c r="B228" s="541" t="s">
        <v>1346</v>
      </c>
      <c r="C228" s="574">
        <v>-289800000</v>
      </c>
      <c r="D228" s="544"/>
      <c r="G228" s="541" t="s">
        <v>1345</v>
      </c>
      <c r="H228" s="541" t="s">
        <v>982</v>
      </c>
      <c r="I228" s="574">
        <v>-289800000</v>
      </c>
      <c r="J228" s="523">
        <v>-289800000</v>
      </c>
    </row>
    <row r="229" spans="1:10">
      <c r="A229" s="541" t="s">
        <v>1765</v>
      </c>
      <c r="B229" s="541" t="s">
        <v>1766</v>
      </c>
      <c r="C229" s="574">
        <v>-166666668</v>
      </c>
      <c r="D229" s="544"/>
      <c r="G229" s="541" t="s">
        <v>1765</v>
      </c>
      <c r="H229" s="541" t="s">
        <v>983</v>
      </c>
      <c r="I229" s="574">
        <v>-166666668</v>
      </c>
      <c r="J229" s="523">
        <v>-166666668</v>
      </c>
    </row>
    <row r="230" spans="1:10">
      <c r="A230" s="541" t="s">
        <v>1347</v>
      </c>
      <c r="B230" s="541" t="s">
        <v>1348</v>
      </c>
      <c r="C230" s="574">
        <v>-52499997</v>
      </c>
      <c r="D230" s="544"/>
      <c r="G230" s="541" t="s">
        <v>1347</v>
      </c>
      <c r="H230" s="541" t="s">
        <v>984</v>
      </c>
      <c r="I230" s="502">
        <v>-52499997</v>
      </c>
      <c r="J230" s="644">
        <v>-52499997</v>
      </c>
    </row>
    <row r="231" spans="1:10">
      <c r="A231" s="541"/>
      <c r="B231" s="541" t="s">
        <v>1004</v>
      </c>
      <c r="C231" s="574">
        <v>-288505890</v>
      </c>
      <c r="D231" s="544"/>
      <c r="G231" s="541" t="s">
        <v>2012</v>
      </c>
      <c r="H231" s="541" t="s">
        <v>1004</v>
      </c>
      <c r="I231" s="574">
        <v>-288505890</v>
      </c>
      <c r="J231" s="644">
        <v>-288505890</v>
      </c>
    </row>
    <row r="232" spans="1:10">
      <c r="A232" s="692" t="s">
        <v>2031</v>
      </c>
      <c r="B232" s="692" t="s">
        <v>1843</v>
      </c>
      <c r="C232" s="693">
        <v>-4900000000</v>
      </c>
      <c r="D232" s="544"/>
      <c r="G232" s="541" t="s">
        <v>2031</v>
      </c>
      <c r="H232" s="541" t="s">
        <v>1843</v>
      </c>
      <c r="I232" s="574">
        <v>-4900000000</v>
      </c>
      <c r="J232" s="644">
        <v>-4900000000</v>
      </c>
    </row>
    <row r="233" spans="1:10">
      <c r="A233" s="541" t="s">
        <v>1349</v>
      </c>
      <c r="B233" s="541" t="s">
        <v>1350</v>
      </c>
      <c r="C233" s="574">
        <v>-590140281</v>
      </c>
      <c r="D233" s="544"/>
      <c r="G233" s="541" t="s">
        <v>1349</v>
      </c>
      <c r="H233" s="541" t="s">
        <v>1350</v>
      </c>
      <c r="I233" s="574">
        <v>-590140281</v>
      </c>
      <c r="J233" s="644">
        <v>-590140281</v>
      </c>
    </row>
    <row r="234" spans="1:10">
      <c r="A234" s="541" t="s">
        <v>1351</v>
      </c>
      <c r="B234" s="541" t="s">
        <v>1352</v>
      </c>
      <c r="C234" s="574">
        <v>590140281</v>
      </c>
      <c r="D234" s="544"/>
      <c r="G234" s="541" t="s">
        <v>1351</v>
      </c>
      <c r="H234" s="541" t="s">
        <v>1352</v>
      </c>
      <c r="I234" s="574">
        <v>590140281</v>
      </c>
      <c r="J234" s="644">
        <v>590140281</v>
      </c>
    </row>
    <row r="235" spans="1:10">
      <c r="A235" s="541" t="s">
        <v>1337</v>
      </c>
      <c r="B235" s="541" t="s">
        <v>1338</v>
      </c>
      <c r="C235" s="574">
        <v>-5879615410</v>
      </c>
      <c r="D235" s="544"/>
      <c r="G235" s="541" t="s">
        <v>1337</v>
      </c>
      <c r="H235" s="541" t="s">
        <v>1338</v>
      </c>
      <c r="I235" s="574">
        <v>-5879615410</v>
      </c>
      <c r="J235" s="644">
        <v>-5879615410</v>
      </c>
    </row>
    <row r="236" spans="1:10">
      <c r="A236" s="541" t="s">
        <v>1353</v>
      </c>
      <c r="B236" s="541" t="s">
        <v>1354</v>
      </c>
      <c r="C236" s="542"/>
      <c r="D236" s="544"/>
      <c r="G236" s="541" t="s">
        <v>1353</v>
      </c>
      <c r="H236" s="541" t="s">
        <v>1354</v>
      </c>
      <c r="I236" s="574"/>
      <c r="J236" s="544"/>
    </row>
    <row r="237" spans="1:10">
      <c r="A237" s="541" t="s">
        <v>1355</v>
      </c>
      <c r="B237" s="541"/>
      <c r="C237" s="542"/>
      <c r="G237" s="541" t="s">
        <v>1355</v>
      </c>
      <c r="H237" s="541"/>
      <c r="I237" s="574"/>
      <c r="J237" s="544"/>
    </row>
    <row r="238" spans="1:10">
      <c r="A238" s="541" t="s">
        <v>1356</v>
      </c>
      <c r="B238" s="541" t="s">
        <v>1357</v>
      </c>
      <c r="C238" s="542">
        <v>-196428569</v>
      </c>
      <c r="G238" s="541" t="s">
        <v>1356</v>
      </c>
      <c r="H238" s="541" t="s">
        <v>1357</v>
      </c>
      <c r="I238" s="574">
        <v>-196428569</v>
      </c>
      <c r="J238" s="644">
        <v>-196428569</v>
      </c>
    </row>
    <row r="239" spans="1:10">
      <c r="A239" s="541" t="s">
        <v>1358</v>
      </c>
      <c r="B239" s="541" t="s">
        <v>1359</v>
      </c>
      <c r="C239" s="542">
        <v>-151666686</v>
      </c>
      <c r="D239" s="544"/>
      <c r="G239" s="541" t="s">
        <v>1358</v>
      </c>
      <c r="H239" s="541" t="s">
        <v>1359</v>
      </c>
      <c r="I239" s="574">
        <v>-151666686</v>
      </c>
      <c r="J239" s="523">
        <v>-151666686</v>
      </c>
    </row>
    <row r="240" spans="1:10">
      <c r="A240" s="541" t="s">
        <v>1767</v>
      </c>
      <c r="B240" s="541" t="s">
        <v>1768</v>
      </c>
      <c r="C240" s="542">
        <v>-112166826</v>
      </c>
      <c r="D240" s="544"/>
      <c r="G240" s="541" t="s">
        <v>1767</v>
      </c>
      <c r="H240" s="541" t="s">
        <v>1768</v>
      </c>
      <c r="I240" s="502">
        <v>-112166826</v>
      </c>
      <c r="J240" s="523">
        <v>-112166826</v>
      </c>
    </row>
    <row r="241" spans="1:10">
      <c r="A241" s="541" t="s">
        <v>1360</v>
      </c>
      <c r="B241" s="541" t="s">
        <v>1361</v>
      </c>
      <c r="C241" s="543">
        <v>-333333348</v>
      </c>
      <c r="D241" s="544"/>
      <c r="G241" s="541" t="s">
        <v>1360</v>
      </c>
      <c r="H241" s="541" t="s">
        <v>1361</v>
      </c>
      <c r="I241" s="502">
        <v>-333333348</v>
      </c>
      <c r="J241" s="644">
        <v>-333333348</v>
      </c>
    </row>
    <row r="242" spans="1:10">
      <c r="A242" s="541" t="s">
        <v>1362</v>
      </c>
      <c r="B242" s="541" t="s">
        <v>986</v>
      </c>
      <c r="C242" s="543">
        <v>-83333329</v>
      </c>
      <c r="D242" s="544"/>
      <c r="G242" s="541" t="s">
        <v>1362</v>
      </c>
      <c r="H242" s="541" t="s">
        <v>986</v>
      </c>
      <c r="I242" s="574">
        <v>-83333329</v>
      </c>
      <c r="J242" s="644">
        <v>-83333329</v>
      </c>
    </row>
    <row r="243" spans="1:10">
      <c r="A243" s="541" t="s">
        <v>1769</v>
      </c>
      <c r="B243" s="541" t="s">
        <v>987</v>
      </c>
      <c r="C243" s="542">
        <v>-259400000</v>
      </c>
      <c r="D243" s="544"/>
      <c r="G243" s="541" t="s">
        <v>1769</v>
      </c>
      <c r="H243" s="541" t="s">
        <v>987</v>
      </c>
      <c r="I243" s="574">
        <v>-259400000</v>
      </c>
      <c r="J243" s="644">
        <v>-259400000</v>
      </c>
    </row>
    <row r="244" spans="1:10">
      <c r="A244" s="541">
        <v>217101108</v>
      </c>
      <c r="B244" s="541" t="s">
        <v>1002</v>
      </c>
      <c r="C244" s="542">
        <v>-1121967357</v>
      </c>
      <c r="G244" s="541" t="s">
        <v>2015</v>
      </c>
      <c r="H244" s="541" t="s">
        <v>1002</v>
      </c>
      <c r="I244" s="574">
        <v>-1121967357</v>
      </c>
      <c r="J244" s="644">
        <v>-1121967357</v>
      </c>
    </row>
    <row r="245" spans="1:10">
      <c r="A245" s="541" t="s">
        <v>1363</v>
      </c>
      <c r="B245" s="541" t="s">
        <v>1364</v>
      </c>
      <c r="C245" s="542">
        <v>-185623265</v>
      </c>
      <c r="G245" s="541" t="s">
        <v>1363</v>
      </c>
      <c r="H245" s="541" t="s">
        <v>1364</v>
      </c>
      <c r="I245" s="574">
        <v>-185623265</v>
      </c>
      <c r="J245" s="644">
        <v>-185623265</v>
      </c>
    </row>
    <row r="246" spans="1:10">
      <c r="A246" s="541" t="s">
        <v>1365</v>
      </c>
      <c r="B246" s="541" t="s">
        <v>1366</v>
      </c>
      <c r="C246" s="542">
        <v>185623265</v>
      </c>
      <c r="G246" s="541" t="s">
        <v>1365</v>
      </c>
      <c r="H246" s="541" t="s">
        <v>1366</v>
      </c>
      <c r="I246" s="574">
        <v>185623265</v>
      </c>
      <c r="J246" s="523">
        <v>185623265</v>
      </c>
    </row>
    <row r="247" spans="1:10">
      <c r="A247" s="541" t="s">
        <v>1367</v>
      </c>
      <c r="B247" s="541" t="s">
        <v>1368</v>
      </c>
      <c r="C247" s="542">
        <v>-214285712</v>
      </c>
      <c r="G247" s="541" t="s">
        <v>1367</v>
      </c>
      <c r="H247" s="541" t="s">
        <v>1368</v>
      </c>
      <c r="I247" s="574">
        <v>-214285712</v>
      </c>
      <c r="J247" s="523">
        <v>-214285712</v>
      </c>
    </row>
    <row r="248" spans="1:10">
      <c r="A248" s="541" t="s">
        <v>1355</v>
      </c>
      <c r="B248" s="541"/>
      <c r="C248" s="542">
        <v>-2472581827</v>
      </c>
      <c r="D248" s="544"/>
      <c r="G248" s="541" t="s">
        <v>1355</v>
      </c>
      <c r="H248" s="541"/>
      <c r="I248" s="574">
        <v>-2472581827</v>
      </c>
      <c r="J248" s="523">
        <v>-2472581827</v>
      </c>
    </row>
    <row r="249" spans="1:10">
      <c r="A249" s="541" t="s">
        <v>1353</v>
      </c>
      <c r="B249" s="541" t="s">
        <v>1354</v>
      </c>
      <c r="C249" s="542">
        <v>-2472581827</v>
      </c>
      <c r="D249" s="544"/>
      <c r="G249" s="541" t="s">
        <v>1353</v>
      </c>
      <c r="H249" s="541" t="s">
        <v>1354</v>
      </c>
      <c r="I249" s="574">
        <v>-2472581827</v>
      </c>
      <c r="J249" s="523">
        <v>-2472581827</v>
      </c>
    </row>
    <row r="250" spans="1:10">
      <c r="A250" s="541" t="s">
        <v>1369</v>
      </c>
      <c r="B250" s="541" t="s">
        <v>1370</v>
      </c>
      <c r="C250" s="542"/>
      <c r="D250" s="544"/>
      <c r="G250" s="541" t="s">
        <v>1311</v>
      </c>
      <c r="H250" s="541" t="s">
        <v>487</v>
      </c>
      <c r="I250" s="574">
        <v>-16030439614</v>
      </c>
      <c r="J250" s="644">
        <v>-16030439614</v>
      </c>
    </row>
    <row r="251" spans="1:10">
      <c r="A251" s="541" t="s">
        <v>1371</v>
      </c>
      <c r="B251" s="541" t="s">
        <v>1372</v>
      </c>
      <c r="C251" s="542"/>
      <c r="G251" s="541" t="s">
        <v>1309</v>
      </c>
      <c r="H251" s="541" t="s">
        <v>1310</v>
      </c>
      <c r="I251" s="574">
        <v>-16030439614</v>
      </c>
      <c r="J251" s="644">
        <v>-16030439614</v>
      </c>
    </row>
    <row r="252" spans="1:10">
      <c r="A252" s="541" t="s">
        <v>1373</v>
      </c>
      <c r="B252" s="541" t="s">
        <v>1001</v>
      </c>
      <c r="C252" s="574"/>
      <c r="D252" s="544"/>
      <c r="E252" s="523">
        <f>+'Calc.Aux.'!G182+'Calc.Aux.'!G164+'Calc.Aux.'!G158+'Calc.Aux.'!G104+'Calc.Aux.'!G93+'Calc.Aux.'!G81+'Calc.Aux.'!G53+'Calc.Aux.'!G43+'Calc.Aux.'!G24</f>
        <v>16030439614</v>
      </c>
      <c r="G252" s="541" t="s">
        <v>1374</v>
      </c>
      <c r="H252" s="541" t="s">
        <v>1375</v>
      </c>
      <c r="I252" s="574"/>
    </row>
    <row r="253" spans="1:10">
      <c r="A253" s="541" t="s">
        <v>1770</v>
      </c>
      <c r="B253" s="541" t="s">
        <v>1771</v>
      </c>
      <c r="C253" s="574"/>
      <c r="D253" s="544"/>
      <c r="E253" s="523">
        <f>+C257+E252</f>
        <v>0</v>
      </c>
      <c r="G253" s="541" t="s">
        <v>1376</v>
      </c>
      <c r="H253" s="541" t="s">
        <v>1375</v>
      </c>
      <c r="I253" s="574"/>
      <c r="J253" s="544"/>
    </row>
    <row r="254" spans="1:10">
      <c r="A254" s="541" t="s">
        <v>1371</v>
      </c>
      <c r="B254" s="541" t="s">
        <v>1372</v>
      </c>
      <c r="C254" s="574"/>
      <c r="D254" s="544"/>
      <c r="G254" s="541" t="s">
        <v>1377</v>
      </c>
      <c r="H254" s="541" t="s">
        <v>1378</v>
      </c>
      <c r="I254" s="574"/>
      <c r="J254" s="544"/>
    </row>
    <row r="255" spans="1:10">
      <c r="A255" s="541" t="s">
        <v>1369</v>
      </c>
      <c r="B255" s="541" t="s">
        <v>1370</v>
      </c>
      <c r="C255" s="574"/>
      <c r="G255" s="541"/>
      <c r="H255" s="541"/>
      <c r="I255" s="574"/>
      <c r="J255" s="544"/>
    </row>
    <row r="256" spans="1:10">
      <c r="A256" s="541" t="s">
        <v>1311</v>
      </c>
      <c r="B256" s="541" t="s">
        <v>487</v>
      </c>
      <c r="C256" s="574">
        <v>-16030439614</v>
      </c>
      <c r="D256" s="544"/>
      <c r="G256" s="541"/>
      <c r="H256" s="541"/>
      <c r="I256" s="574"/>
      <c r="J256" s="544"/>
    </row>
    <row r="257" spans="1:10">
      <c r="A257" s="541" t="s">
        <v>1309</v>
      </c>
      <c r="B257" s="541" t="s">
        <v>1310</v>
      </c>
      <c r="C257" s="574">
        <v>-16030439614</v>
      </c>
      <c r="D257" s="544"/>
      <c r="G257" s="541"/>
      <c r="H257" s="541"/>
      <c r="I257" s="574"/>
      <c r="J257" s="544"/>
    </row>
    <row r="258" spans="1:10">
      <c r="A258" s="541" t="s">
        <v>1374</v>
      </c>
      <c r="B258" s="541" t="s">
        <v>1375</v>
      </c>
      <c r="C258" s="542"/>
      <c r="D258" s="544"/>
      <c r="G258" s="541"/>
      <c r="H258" s="541"/>
      <c r="I258" s="574"/>
      <c r="J258" s="544"/>
    </row>
    <row r="259" spans="1:10">
      <c r="A259" s="541" t="s">
        <v>1376</v>
      </c>
      <c r="B259" s="541" t="s">
        <v>1375</v>
      </c>
      <c r="C259" s="542"/>
      <c r="D259" s="544"/>
      <c r="G259" s="541"/>
      <c r="H259" s="541"/>
      <c r="I259" s="574"/>
      <c r="J259" s="544"/>
    </row>
    <row r="260" spans="1:10">
      <c r="A260" s="541" t="s">
        <v>1377</v>
      </c>
      <c r="B260" s="541" t="s">
        <v>1378</v>
      </c>
      <c r="D260" s="544"/>
      <c r="G260" s="541"/>
      <c r="H260" s="541"/>
      <c r="I260" s="574"/>
      <c r="J260" s="544"/>
    </row>
    <row r="261" spans="1:10">
      <c r="A261" s="541" t="s">
        <v>1379</v>
      </c>
      <c r="B261" s="541" t="s">
        <v>1380</v>
      </c>
      <c r="D261" s="544"/>
      <c r="G261" s="541" t="s">
        <v>1379</v>
      </c>
      <c r="H261" s="541" t="s">
        <v>1380</v>
      </c>
      <c r="I261" s="574"/>
      <c r="J261" s="544"/>
    </row>
    <row r="262" spans="1:10">
      <c r="A262" s="541" t="s">
        <v>1381</v>
      </c>
      <c r="B262" s="541" t="s">
        <v>1382</v>
      </c>
      <c r="C262" s="574">
        <v>-15000000000</v>
      </c>
      <c r="D262" s="544"/>
      <c r="G262" s="541" t="s">
        <v>1381</v>
      </c>
      <c r="H262" s="541" t="s">
        <v>1382</v>
      </c>
      <c r="I262" s="574">
        <v>-15000000000</v>
      </c>
      <c r="J262" s="523">
        <v>-15000000000</v>
      </c>
    </row>
    <row r="263" spans="1:10">
      <c r="A263" s="541" t="s">
        <v>1379</v>
      </c>
      <c r="B263" s="541" t="s">
        <v>1380</v>
      </c>
      <c r="C263" s="574">
        <v>-15000000000</v>
      </c>
      <c r="G263" s="541" t="s">
        <v>1379</v>
      </c>
      <c r="H263" s="541" t="s">
        <v>1380</v>
      </c>
      <c r="I263" s="574">
        <v>-15000000000</v>
      </c>
      <c r="J263" s="644">
        <v>-15000000000</v>
      </c>
    </row>
    <row r="264" spans="1:10">
      <c r="A264" s="541" t="s">
        <v>1383</v>
      </c>
      <c r="B264" s="541" t="s">
        <v>1384</v>
      </c>
      <c r="C264" s="502"/>
      <c r="G264" s="541" t="s">
        <v>1383</v>
      </c>
      <c r="H264" s="541" t="s">
        <v>1384</v>
      </c>
      <c r="I264" s="574"/>
      <c r="J264" s="544"/>
    </row>
    <row r="265" spans="1:10">
      <c r="A265" s="541" t="s">
        <v>1385</v>
      </c>
      <c r="B265" s="541" t="s">
        <v>1386</v>
      </c>
      <c r="C265" s="574">
        <v>-1143468513</v>
      </c>
      <c r="G265" s="541" t="s">
        <v>1385</v>
      </c>
      <c r="H265" s="541" t="s">
        <v>1386</v>
      </c>
      <c r="I265" s="502">
        <v>-1143468513</v>
      </c>
      <c r="J265" s="644">
        <v>-1143468513</v>
      </c>
    </row>
    <row r="266" spans="1:10">
      <c r="A266" s="541" t="s">
        <v>1387</v>
      </c>
      <c r="B266" s="541" t="s">
        <v>1388</v>
      </c>
      <c r="C266" s="574">
        <v>-1815870408</v>
      </c>
      <c r="G266" s="541" t="s">
        <v>1387</v>
      </c>
      <c r="H266" s="541" t="s">
        <v>1388</v>
      </c>
      <c r="I266" s="502">
        <v>-1815870408</v>
      </c>
      <c r="J266" s="644">
        <v>-1815870408</v>
      </c>
    </row>
    <row r="267" spans="1:10">
      <c r="A267" s="541" t="s">
        <v>1844</v>
      </c>
      <c r="B267" s="541" t="s">
        <v>1845</v>
      </c>
      <c r="C267" s="574">
        <v>-1252221963</v>
      </c>
      <c r="D267" s="544"/>
      <c r="G267" s="541" t="s">
        <v>1844</v>
      </c>
      <c r="H267" s="541" t="s">
        <v>1845</v>
      </c>
      <c r="I267" s="574">
        <v>-1252221963</v>
      </c>
      <c r="J267" s="644">
        <v>-1252221963</v>
      </c>
    </row>
    <row r="268" spans="1:10">
      <c r="A268" s="694" t="s">
        <v>1846</v>
      </c>
      <c r="B268" s="694" t="s">
        <v>999</v>
      </c>
      <c r="C268" s="695">
        <v>-562605594</v>
      </c>
      <c r="D268" s="544"/>
      <c r="G268" s="541" t="s">
        <v>1846</v>
      </c>
      <c r="H268" s="541" t="s">
        <v>999</v>
      </c>
      <c r="I268" s="574">
        <v>-562605594</v>
      </c>
      <c r="J268" s="644">
        <v>-562605594</v>
      </c>
    </row>
    <row r="269" spans="1:10">
      <c r="A269" s="541" t="s">
        <v>1383</v>
      </c>
      <c r="B269" s="541" t="s">
        <v>1384</v>
      </c>
      <c r="C269" s="574">
        <v>-4774166478</v>
      </c>
      <c r="D269" s="544"/>
      <c r="G269" s="541" t="s">
        <v>1383</v>
      </c>
      <c r="H269" s="541" t="s">
        <v>1384</v>
      </c>
      <c r="I269" s="574">
        <v>-4774166478</v>
      </c>
      <c r="J269" s="644">
        <v>-4774166478</v>
      </c>
    </row>
    <row r="270" spans="1:10">
      <c r="A270" s="541" t="s">
        <v>1389</v>
      </c>
      <c r="B270" s="541" t="s">
        <v>1390</v>
      </c>
      <c r="C270" s="502"/>
      <c r="D270" s="544"/>
      <c r="G270" s="541" t="s">
        <v>1389</v>
      </c>
      <c r="H270" s="541" t="s">
        <v>1390</v>
      </c>
      <c r="I270" s="574"/>
    </row>
    <row r="271" spans="1:10">
      <c r="A271" s="541">
        <v>310131001</v>
      </c>
      <c r="B271" s="541" t="s">
        <v>1392</v>
      </c>
      <c r="C271" s="574">
        <v>-998404820</v>
      </c>
      <c r="D271" s="644">
        <f>+C276+'Calc.Aux.'!G149+'Calc.Aux.'!G178+'Calc.Aux.'!G179+'Calc.Aux.'!G180+'Calc.Aux.'!G181</f>
        <v>-1802479385</v>
      </c>
      <c r="G271" s="541" t="s">
        <v>1391</v>
      </c>
      <c r="H271" s="541" t="s">
        <v>1392</v>
      </c>
      <c r="I271" s="574">
        <v>-998404820</v>
      </c>
      <c r="J271" s="523">
        <v>-998404820</v>
      </c>
    </row>
    <row r="272" spans="1:10">
      <c r="A272" s="541">
        <v>310131002</v>
      </c>
      <c r="B272" s="541" t="s">
        <v>1000</v>
      </c>
      <c r="C272" s="574">
        <v>-2502927045</v>
      </c>
      <c r="G272" s="541" t="s">
        <v>1393</v>
      </c>
      <c r="H272" s="541" t="s">
        <v>1000</v>
      </c>
      <c r="I272" s="574">
        <v>-2502927045</v>
      </c>
      <c r="J272" s="523">
        <v>-2502927045</v>
      </c>
    </row>
    <row r="273" spans="1:10">
      <c r="A273" s="541">
        <v>310131</v>
      </c>
      <c r="B273" s="541" t="s">
        <v>1390</v>
      </c>
      <c r="C273" s="574">
        <v>-3501331865</v>
      </c>
      <c r="D273" s="544"/>
      <c r="G273" s="541" t="s">
        <v>1389</v>
      </c>
      <c r="H273" s="541" t="s">
        <v>1390</v>
      </c>
      <c r="I273" s="502">
        <v>-3501331865</v>
      </c>
      <c r="J273" s="523">
        <v>-3501331865</v>
      </c>
    </row>
    <row r="274" spans="1:10">
      <c r="A274" s="541">
        <v>3101</v>
      </c>
      <c r="B274" s="541" t="s">
        <v>1378</v>
      </c>
      <c r="C274" s="574">
        <v>-23275498343</v>
      </c>
      <c r="D274" s="544"/>
      <c r="G274" s="541" t="s">
        <v>1377</v>
      </c>
      <c r="H274" s="541" t="s">
        <v>1378</v>
      </c>
      <c r="I274" s="502">
        <v>-23275498343</v>
      </c>
      <c r="J274" s="644">
        <v>-23275498343</v>
      </c>
    </row>
    <row r="275" spans="1:10">
      <c r="A275" s="541">
        <v>31</v>
      </c>
      <c r="B275" s="541" t="s">
        <v>1375</v>
      </c>
      <c r="C275" s="574">
        <v>-23275498343</v>
      </c>
      <c r="D275" s="544"/>
      <c r="G275" s="541" t="s">
        <v>1376</v>
      </c>
      <c r="H275" s="541" t="s">
        <v>1375</v>
      </c>
      <c r="I275" s="502">
        <v>-23275498343</v>
      </c>
      <c r="J275" s="644">
        <v>-23275498343</v>
      </c>
    </row>
    <row r="276" spans="1:10">
      <c r="A276" s="541">
        <v>3</v>
      </c>
      <c r="B276" s="541" t="s">
        <v>1375</v>
      </c>
      <c r="C276" s="574">
        <v>-23275498343</v>
      </c>
      <c r="D276" s="544"/>
      <c r="G276" s="541" t="s">
        <v>1374</v>
      </c>
      <c r="H276" s="541" t="s">
        <v>1375</v>
      </c>
      <c r="I276" s="502">
        <v>-23275498343</v>
      </c>
      <c r="J276" s="644">
        <v>-23275498343</v>
      </c>
    </row>
    <row r="277" spans="1:10">
      <c r="A277" s="541" t="s">
        <v>1394</v>
      </c>
      <c r="B277" s="541" t="s">
        <v>1395</v>
      </c>
      <c r="C277" s="574">
        <v>-13391023</v>
      </c>
      <c r="D277" s="544"/>
      <c r="G277" s="541" t="s">
        <v>1394</v>
      </c>
      <c r="H277" s="541" t="s">
        <v>1395</v>
      </c>
      <c r="I277" s="574">
        <v>-13391023</v>
      </c>
      <c r="J277" s="644">
        <v>-13391023</v>
      </c>
    </row>
    <row r="278" spans="1:10">
      <c r="A278" s="541" t="s">
        <v>1396</v>
      </c>
      <c r="B278" s="541" t="s">
        <v>1397</v>
      </c>
      <c r="C278" s="542"/>
      <c r="D278" s="544"/>
      <c r="G278" s="541" t="s">
        <v>1396</v>
      </c>
      <c r="H278" s="541" t="s">
        <v>1397</v>
      </c>
      <c r="I278" s="574"/>
      <c r="J278" s="544"/>
    </row>
    <row r="279" spans="1:10">
      <c r="A279" s="541" t="s">
        <v>1398</v>
      </c>
      <c r="B279" s="541" t="s">
        <v>1399</v>
      </c>
      <c r="C279" s="542"/>
      <c r="G279" s="541" t="s">
        <v>1398</v>
      </c>
      <c r="H279" s="541" t="s">
        <v>1399</v>
      </c>
    </row>
    <row r="280" spans="1:10">
      <c r="A280" s="541" t="s">
        <v>1400</v>
      </c>
      <c r="B280" s="541" t="s">
        <v>1401</v>
      </c>
      <c r="G280" s="541" t="s">
        <v>1400</v>
      </c>
      <c r="H280" s="541" t="s">
        <v>1401</v>
      </c>
      <c r="I280" s="574"/>
      <c r="J280" s="544"/>
    </row>
    <row r="281" spans="1:10">
      <c r="A281" s="541" t="s">
        <v>1402</v>
      </c>
      <c r="B281" s="541" t="s">
        <v>1403</v>
      </c>
      <c r="D281" s="544"/>
      <c r="G281" s="541" t="s">
        <v>1402</v>
      </c>
      <c r="H281" s="541" t="s">
        <v>1403</v>
      </c>
      <c r="I281" s="574"/>
      <c r="J281" s="544"/>
    </row>
    <row r="282" spans="1:10">
      <c r="A282" s="541" t="s">
        <v>1404</v>
      </c>
      <c r="B282" s="541" t="s">
        <v>1405</v>
      </c>
      <c r="C282" s="574">
        <v>-2666076814</v>
      </c>
      <c r="D282" s="544"/>
      <c r="G282" s="541" t="s">
        <v>1404</v>
      </c>
      <c r="H282" s="541" t="s">
        <v>1405</v>
      </c>
      <c r="I282" s="574">
        <v>-2666076814</v>
      </c>
      <c r="J282" s="644">
        <v>-2666076814</v>
      </c>
    </row>
    <row r="283" spans="1:10">
      <c r="A283" s="541" t="s">
        <v>1406</v>
      </c>
      <c r="B283" s="541" t="s">
        <v>1407</v>
      </c>
      <c r="C283" s="574">
        <v>-528498348</v>
      </c>
      <c r="D283" s="544"/>
      <c r="G283" s="541" t="s">
        <v>1406</v>
      </c>
      <c r="H283" s="541" t="s">
        <v>1407</v>
      </c>
      <c r="I283" s="574">
        <v>-528498348</v>
      </c>
      <c r="J283" s="644">
        <v>-528498348</v>
      </c>
    </row>
    <row r="284" spans="1:10">
      <c r="A284" s="541" t="s">
        <v>1408</v>
      </c>
      <c r="B284" s="541" t="s">
        <v>1409</v>
      </c>
      <c r="C284" s="574">
        <v>-1310279042</v>
      </c>
      <c r="D284" s="544"/>
      <c r="G284" s="541" t="s">
        <v>1408</v>
      </c>
      <c r="H284" s="541" t="s">
        <v>1409</v>
      </c>
      <c r="I284" s="502">
        <v>-1310279042</v>
      </c>
      <c r="J284" s="644">
        <v>-1310279042</v>
      </c>
    </row>
    <row r="285" spans="1:10">
      <c r="A285" s="541" t="s">
        <v>1410</v>
      </c>
      <c r="B285" s="541" t="s">
        <v>1411</v>
      </c>
      <c r="C285" s="574"/>
      <c r="G285" s="541" t="s">
        <v>1402</v>
      </c>
      <c r="H285" s="541" t="s">
        <v>1403</v>
      </c>
      <c r="I285" s="574">
        <v>-4504854204</v>
      </c>
      <c r="J285" s="644">
        <v>-4504854204</v>
      </c>
    </row>
    <row r="286" spans="1:10">
      <c r="A286" s="541" t="s">
        <v>1402</v>
      </c>
      <c r="B286" s="541" t="s">
        <v>1403</v>
      </c>
      <c r="C286" s="574">
        <v>-4504854204</v>
      </c>
      <c r="D286" s="544"/>
      <c r="G286" s="541" t="s">
        <v>1412</v>
      </c>
      <c r="H286" s="541" t="s">
        <v>1413</v>
      </c>
      <c r="I286" s="574"/>
    </row>
    <row r="287" spans="1:10">
      <c r="A287" s="541" t="s">
        <v>1412</v>
      </c>
      <c r="B287" s="541" t="s">
        <v>1413</v>
      </c>
      <c r="C287" s="502"/>
      <c r="D287" s="544"/>
      <c r="G287" s="541" t="s">
        <v>1414</v>
      </c>
      <c r="H287" s="541" t="s">
        <v>1415</v>
      </c>
      <c r="I287" s="574">
        <v>1959949958</v>
      </c>
      <c r="J287" s="523">
        <v>1959949958</v>
      </c>
    </row>
    <row r="288" spans="1:10">
      <c r="A288" s="541" t="s">
        <v>1414</v>
      </c>
      <c r="B288" s="541" t="s">
        <v>1415</v>
      </c>
      <c r="C288" s="574">
        <v>1959949958</v>
      </c>
      <c r="D288" s="544"/>
      <c r="G288" s="541" t="s">
        <v>1416</v>
      </c>
      <c r="H288" s="541" t="s">
        <v>1417</v>
      </c>
      <c r="I288" s="574">
        <v>349822648</v>
      </c>
      <c r="J288" s="644">
        <v>349822648</v>
      </c>
    </row>
    <row r="289" spans="1:10">
      <c r="A289" s="541" t="s">
        <v>1416</v>
      </c>
      <c r="B289" s="541" t="s">
        <v>1417</v>
      </c>
      <c r="C289" s="574">
        <v>349822648</v>
      </c>
      <c r="D289" s="544"/>
      <c r="G289" s="541" t="s">
        <v>1418</v>
      </c>
      <c r="H289" s="541" t="s">
        <v>1419</v>
      </c>
      <c r="I289" s="574">
        <v>562859934</v>
      </c>
      <c r="J289" s="644">
        <v>562859934</v>
      </c>
    </row>
    <row r="290" spans="1:10">
      <c r="A290" s="541" t="s">
        <v>1418</v>
      </c>
      <c r="B290" s="541" t="s">
        <v>1419</v>
      </c>
      <c r="C290" s="574">
        <v>562859934</v>
      </c>
      <c r="D290" s="544"/>
      <c r="G290" s="541" t="s">
        <v>1412</v>
      </c>
      <c r="H290" s="541" t="s">
        <v>1413</v>
      </c>
      <c r="I290" s="574">
        <v>2872632540</v>
      </c>
      <c r="J290" s="644">
        <v>2872632540</v>
      </c>
    </row>
    <row r="291" spans="1:10">
      <c r="A291" s="541" t="s">
        <v>1420</v>
      </c>
      <c r="B291" s="541" t="s">
        <v>1421</v>
      </c>
      <c r="C291" s="574"/>
      <c r="G291" s="541" t="s">
        <v>1400</v>
      </c>
      <c r="H291" s="541" t="s">
        <v>1401</v>
      </c>
      <c r="I291" s="574">
        <v>-1632221664</v>
      </c>
      <c r="J291" s="644">
        <v>-1632221664</v>
      </c>
    </row>
    <row r="292" spans="1:10">
      <c r="A292" s="541" t="s">
        <v>1412</v>
      </c>
      <c r="B292" s="541" t="s">
        <v>1413</v>
      </c>
      <c r="C292" s="574">
        <v>2872632540</v>
      </c>
      <c r="G292" s="541" t="s">
        <v>1422</v>
      </c>
      <c r="H292" s="541" t="s">
        <v>1423</v>
      </c>
    </row>
    <row r="293" spans="1:10">
      <c r="A293" s="541" t="s">
        <v>1400</v>
      </c>
      <c r="B293" s="541" t="s">
        <v>1401</v>
      </c>
      <c r="C293" s="574">
        <v>-1632221664</v>
      </c>
      <c r="D293" s="544"/>
      <c r="G293" s="541" t="s">
        <v>1424</v>
      </c>
      <c r="H293" s="541" t="s">
        <v>1425</v>
      </c>
      <c r="J293" s="544"/>
    </row>
    <row r="294" spans="1:10">
      <c r="A294" s="541" t="s">
        <v>1422</v>
      </c>
      <c r="B294" s="541" t="s">
        <v>1423</v>
      </c>
      <c r="C294" s="502"/>
      <c r="D294" s="544"/>
      <c r="G294" s="541" t="s">
        <v>1426</v>
      </c>
      <c r="H294" s="541" t="s">
        <v>1427</v>
      </c>
      <c r="I294" s="502">
        <v>-501619393</v>
      </c>
      <c r="J294" s="644">
        <v>-501619393</v>
      </c>
    </row>
    <row r="295" spans="1:10">
      <c r="A295" s="541" t="s">
        <v>1424</v>
      </c>
      <c r="B295" s="541" t="s">
        <v>1425</v>
      </c>
      <c r="C295" s="502"/>
      <c r="G295" s="541" t="s">
        <v>1428</v>
      </c>
      <c r="H295" s="541" t="s">
        <v>1429</v>
      </c>
      <c r="I295" s="502">
        <v>-21790162</v>
      </c>
      <c r="J295" s="644">
        <v>-21790162</v>
      </c>
    </row>
    <row r="296" spans="1:10">
      <c r="A296" s="541" t="s">
        <v>1426</v>
      </c>
      <c r="B296" s="541" t="s">
        <v>1427</v>
      </c>
      <c r="C296" s="574">
        <v>-501619393</v>
      </c>
      <c r="D296" s="544"/>
      <c r="G296" s="541" t="s">
        <v>1430</v>
      </c>
      <c r="H296" s="541" t="s">
        <v>1431</v>
      </c>
      <c r="I296" s="574">
        <v>-728574753</v>
      </c>
      <c r="J296" s="644">
        <v>-728574753</v>
      </c>
    </row>
    <row r="297" spans="1:10">
      <c r="A297" s="541" t="s">
        <v>1428</v>
      </c>
      <c r="B297" s="541" t="s">
        <v>1429</v>
      </c>
      <c r="C297" s="574">
        <v>-21790162</v>
      </c>
      <c r="D297" s="544"/>
      <c r="G297" s="541" t="s">
        <v>1424</v>
      </c>
      <c r="H297" s="541" t="s">
        <v>1425</v>
      </c>
      <c r="I297" s="574">
        <v>-1251984308</v>
      </c>
      <c r="J297" s="644">
        <v>-1251984308</v>
      </c>
    </row>
    <row r="298" spans="1:10">
      <c r="A298" s="541" t="s">
        <v>1430</v>
      </c>
      <c r="B298" s="541" t="s">
        <v>1431</v>
      </c>
      <c r="C298" s="574">
        <v>-728574753</v>
      </c>
      <c r="D298" s="544"/>
      <c r="G298" s="541" t="s">
        <v>1432</v>
      </c>
      <c r="H298" s="541" t="s">
        <v>1433</v>
      </c>
      <c r="I298" s="574"/>
    </row>
    <row r="299" spans="1:10">
      <c r="A299" s="541" t="s">
        <v>1424</v>
      </c>
      <c r="B299" s="541" t="s">
        <v>1425</v>
      </c>
      <c r="C299" s="574">
        <v>-1251984308</v>
      </c>
      <c r="D299" s="544"/>
      <c r="G299" s="541" t="s">
        <v>1434</v>
      </c>
      <c r="H299" s="541" t="s">
        <v>1435</v>
      </c>
      <c r="I299" s="574">
        <v>333371045</v>
      </c>
      <c r="J299" s="523">
        <v>333371045</v>
      </c>
    </row>
    <row r="300" spans="1:10">
      <c r="A300" s="541" t="s">
        <v>1432</v>
      </c>
      <c r="B300" s="541" t="s">
        <v>1433</v>
      </c>
      <c r="C300" s="542"/>
      <c r="D300" s="544"/>
      <c r="G300" s="541" t="s">
        <v>1436</v>
      </c>
      <c r="H300" s="541" t="s">
        <v>1437</v>
      </c>
      <c r="I300" s="574">
        <v>12206337</v>
      </c>
      <c r="J300" s="644">
        <v>12206337</v>
      </c>
    </row>
    <row r="301" spans="1:10">
      <c r="A301" s="541" t="s">
        <v>1434</v>
      </c>
      <c r="B301" s="541" t="s">
        <v>1435</v>
      </c>
      <c r="C301" s="574">
        <v>333371045</v>
      </c>
      <c r="G301" s="541" t="s">
        <v>1438</v>
      </c>
      <c r="H301" s="541" t="s">
        <v>1439</v>
      </c>
      <c r="I301" s="502">
        <v>362175726</v>
      </c>
      <c r="J301" s="644">
        <v>362175726</v>
      </c>
    </row>
    <row r="302" spans="1:10">
      <c r="A302" s="541" t="s">
        <v>1436</v>
      </c>
      <c r="B302" s="541" t="s">
        <v>1437</v>
      </c>
      <c r="C302" s="574">
        <v>12206337</v>
      </c>
      <c r="G302" s="541" t="s">
        <v>1432</v>
      </c>
      <c r="H302" s="541" t="s">
        <v>1433</v>
      </c>
      <c r="I302" s="574">
        <v>707753108</v>
      </c>
      <c r="J302" s="523">
        <v>707753108</v>
      </c>
    </row>
    <row r="303" spans="1:10">
      <c r="A303" s="541" t="s">
        <v>1438</v>
      </c>
      <c r="B303" s="541" t="s">
        <v>1439</v>
      </c>
      <c r="C303" s="574">
        <v>362175726</v>
      </c>
      <c r="D303" s="544"/>
      <c r="G303" s="541" t="s">
        <v>1422</v>
      </c>
      <c r="H303" s="541" t="s">
        <v>1423</v>
      </c>
      <c r="I303" s="574">
        <v>-544231200</v>
      </c>
      <c r="J303" s="644">
        <v>-544231200</v>
      </c>
    </row>
    <row r="304" spans="1:10">
      <c r="A304" s="541" t="s">
        <v>1432</v>
      </c>
      <c r="B304" s="541" t="s">
        <v>1433</v>
      </c>
      <c r="C304" s="574">
        <v>707753108</v>
      </c>
      <c r="D304" s="544"/>
      <c r="G304" s="541" t="s">
        <v>1440</v>
      </c>
      <c r="H304" s="541" t="s">
        <v>1441</v>
      </c>
      <c r="I304" s="574"/>
      <c r="J304" s="544"/>
    </row>
    <row r="305" spans="1:10">
      <c r="A305" s="541" t="s">
        <v>1422</v>
      </c>
      <c r="B305" s="541" t="s">
        <v>1423</v>
      </c>
      <c r="C305" s="574">
        <v>-544231200</v>
      </c>
      <c r="D305" s="544"/>
      <c r="G305" s="541" t="s">
        <v>1442</v>
      </c>
      <c r="H305" s="541" t="s">
        <v>1443</v>
      </c>
      <c r="I305" s="574"/>
      <c r="J305" s="544"/>
    </row>
    <row r="306" spans="1:10">
      <c r="A306" s="541" t="s">
        <v>1440</v>
      </c>
      <c r="B306" s="541" t="s">
        <v>1441</v>
      </c>
      <c r="C306" s="542"/>
      <c r="D306" s="544"/>
      <c r="G306" s="541" t="s">
        <v>1444</v>
      </c>
      <c r="H306" s="541" t="s">
        <v>1445</v>
      </c>
      <c r="I306" s="574">
        <v>-6113180</v>
      </c>
      <c r="J306" s="644">
        <v>-6113180</v>
      </c>
    </row>
    <row r="307" spans="1:10">
      <c r="A307" s="541" t="s">
        <v>1442</v>
      </c>
      <c r="B307" s="541" t="s">
        <v>1443</v>
      </c>
      <c r="C307" s="542"/>
      <c r="G307" s="541" t="s">
        <v>1442</v>
      </c>
      <c r="H307" s="541" t="s">
        <v>1443</v>
      </c>
      <c r="I307" s="574">
        <v>-6113180</v>
      </c>
      <c r="J307" s="644">
        <v>-6113180</v>
      </c>
    </row>
    <row r="308" spans="1:10">
      <c r="A308" s="541" t="s">
        <v>2045</v>
      </c>
      <c r="B308" s="541" t="s">
        <v>1911</v>
      </c>
      <c r="C308" s="574"/>
      <c r="D308" s="544"/>
      <c r="G308" s="541" t="s">
        <v>1446</v>
      </c>
      <c r="H308" s="541" t="s">
        <v>1447</v>
      </c>
    </row>
    <row r="309" spans="1:10">
      <c r="A309" s="541" t="s">
        <v>1444</v>
      </c>
      <c r="B309" s="541" t="s">
        <v>1445</v>
      </c>
      <c r="C309" s="574">
        <v>-6113180</v>
      </c>
      <c r="D309" s="544"/>
      <c r="G309" s="541" t="s">
        <v>2525</v>
      </c>
      <c r="H309" s="541" t="s">
        <v>1448</v>
      </c>
      <c r="I309" s="502">
        <v>727665</v>
      </c>
      <c r="J309" s="523">
        <v>727665</v>
      </c>
    </row>
    <row r="310" spans="1:10">
      <c r="A310" s="541" t="s">
        <v>1442</v>
      </c>
      <c r="B310" s="541" t="s">
        <v>1443</v>
      </c>
      <c r="C310" s="574">
        <v>-6113180</v>
      </c>
      <c r="D310" s="544"/>
      <c r="G310" s="541" t="s">
        <v>1449</v>
      </c>
      <c r="H310" s="541" t="s">
        <v>1450</v>
      </c>
      <c r="I310" s="574">
        <v>2975401</v>
      </c>
      <c r="J310" s="644">
        <v>2975401</v>
      </c>
    </row>
    <row r="311" spans="1:10">
      <c r="A311" s="541" t="s">
        <v>1446</v>
      </c>
      <c r="B311" s="541" t="s">
        <v>1447</v>
      </c>
      <c r="C311" s="542"/>
      <c r="D311" s="544"/>
      <c r="G311" s="541" t="s">
        <v>1446</v>
      </c>
      <c r="H311" s="541" t="s">
        <v>1447</v>
      </c>
      <c r="I311" s="574">
        <v>3703066</v>
      </c>
      <c r="J311" s="644">
        <v>3703066</v>
      </c>
    </row>
    <row r="312" spans="1:10">
      <c r="A312" s="541" t="s">
        <v>2017</v>
      </c>
      <c r="B312" s="541" t="s">
        <v>1912</v>
      </c>
      <c r="C312" s="574">
        <v>727665</v>
      </c>
      <c r="D312" s="544"/>
      <c r="G312" s="541" t="s">
        <v>1440</v>
      </c>
      <c r="H312" s="541" t="s">
        <v>1441</v>
      </c>
      <c r="I312" s="574">
        <v>-2410114</v>
      </c>
      <c r="J312" s="644">
        <v>-2410114</v>
      </c>
    </row>
    <row r="313" spans="1:10">
      <c r="A313" s="541" t="s">
        <v>1449</v>
      </c>
      <c r="B313" s="541" t="s">
        <v>1450</v>
      </c>
      <c r="C313" s="574">
        <v>2975401</v>
      </c>
      <c r="G313" s="541" t="s">
        <v>1451</v>
      </c>
      <c r="H313" s="541" t="s">
        <v>1452</v>
      </c>
      <c r="I313" s="574"/>
      <c r="J313" s="544"/>
    </row>
    <row r="314" spans="1:10">
      <c r="A314" s="541" t="s">
        <v>1446</v>
      </c>
      <c r="B314" s="541" t="s">
        <v>1447</v>
      </c>
      <c r="C314" s="574">
        <v>3703066</v>
      </c>
      <c r="G314" s="541" t="s">
        <v>1453</v>
      </c>
      <c r="H314" s="541" t="s">
        <v>1454</v>
      </c>
    </row>
    <row r="315" spans="1:10">
      <c r="A315" s="541" t="s">
        <v>1440</v>
      </c>
      <c r="B315" s="541" t="s">
        <v>1441</v>
      </c>
      <c r="C315" s="574">
        <v>-2410114</v>
      </c>
      <c r="D315" s="544"/>
      <c r="G315" s="541" t="s">
        <v>1455</v>
      </c>
      <c r="H315" s="541" t="s">
        <v>1456</v>
      </c>
      <c r="I315" s="574">
        <v>-323223697</v>
      </c>
      <c r="J315" s="644">
        <v>-323223697</v>
      </c>
    </row>
    <row r="316" spans="1:10">
      <c r="A316" s="541" t="s">
        <v>1451</v>
      </c>
      <c r="B316" s="541" t="s">
        <v>1452</v>
      </c>
      <c r="C316" s="542"/>
      <c r="D316" s="544"/>
      <c r="G316" s="541" t="s">
        <v>1457</v>
      </c>
      <c r="H316" s="541" t="s">
        <v>1458</v>
      </c>
      <c r="I316" s="574">
        <v>-22073636</v>
      </c>
      <c r="J316" s="644">
        <v>-22073636</v>
      </c>
    </row>
    <row r="317" spans="1:10">
      <c r="A317" s="541" t="s">
        <v>1453</v>
      </c>
      <c r="B317" s="541" t="s">
        <v>1454</v>
      </c>
      <c r="C317" s="542"/>
      <c r="D317" s="544"/>
      <c r="G317" s="541" t="s">
        <v>1459</v>
      </c>
      <c r="H317" s="541" t="s">
        <v>1460</v>
      </c>
      <c r="I317" s="574">
        <v>-71779181</v>
      </c>
      <c r="J317" s="644">
        <v>-71779181</v>
      </c>
    </row>
    <row r="318" spans="1:10">
      <c r="A318" s="541" t="s">
        <v>1455</v>
      </c>
      <c r="B318" s="541" t="s">
        <v>1456</v>
      </c>
      <c r="C318" s="574">
        <v>-323223697</v>
      </c>
      <c r="D318" s="544"/>
      <c r="G318" s="541" t="s">
        <v>1453</v>
      </c>
      <c r="H318" s="541" t="s">
        <v>1454</v>
      </c>
      <c r="I318" s="574">
        <v>-417076514</v>
      </c>
      <c r="J318" s="644">
        <v>-417076514</v>
      </c>
    </row>
    <row r="319" spans="1:10">
      <c r="A319" s="541" t="s">
        <v>1457</v>
      </c>
      <c r="B319" s="541" t="s">
        <v>1458</v>
      </c>
      <c r="C319" s="574">
        <v>-22073636</v>
      </c>
      <c r="G319" s="541" t="s">
        <v>1461</v>
      </c>
      <c r="H319" s="541" t="s">
        <v>1462</v>
      </c>
      <c r="I319" s="574"/>
      <c r="J319" s="544"/>
    </row>
    <row r="320" spans="1:10">
      <c r="A320" s="541" t="s">
        <v>1459</v>
      </c>
      <c r="B320" s="541" t="s">
        <v>1460</v>
      </c>
      <c r="C320" s="574">
        <v>-71779181</v>
      </c>
      <c r="D320" s="544"/>
      <c r="G320" s="541" t="s">
        <v>1463</v>
      </c>
      <c r="H320" s="541" t="s">
        <v>1464</v>
      </c>
      <c r="I320" s="502">
        <v>226436961</v>
      </c>
      <c r="J320" s="523">
        <v>226436961</v>
      </c>
    </row>
    <row r="321" spans="1:10">
      <c r="A321" s="541" t="s">
        <v>1453</v>
      </c>
      <c r="B321" s="541" t="s">
        <v>1454</v>
      </c>
      <c r="C321" s="574">
        <v>-417076514</v>
      </c>
      <c r="D321" s="544"/>
      <c r="G321" s="541" t="s">
        <v>1465</v>
      </c>
      <c r="H321" s="541" t="s">
        <v>1466</v>
      </c>
      <c r="I321" s="502">
        <v>13143788</v>
      </c>
      <c r="J321" s="523">
        <v>13143788</v>
      </c>
    </row>
    <row r="322" spans="1:10">
      <c r="A322" s="541" t="s">
        <v>1461</v>
      </c>
      <c r="B322" s="541" t="s">
        <v>1462</v>
      </c>
      <c r="C322" s="502"/>
      <c r="D322" s="544"/>
      <c r="G322" s="541" t="s">
        <v>1467</v>
      </c>
      <c r="H322" s="541" t="s">
        <v>1468</v>
      </c>
      <c r="I322" s="574">
        <v>18503914</v>
      </c>
      <c r="J322" s="644">
        <v>18503914</v>
      </c>
    </row>
    <row r="323" spans="1:10">
      <c r="A323" s="541" t="s">
        <v>1463</v>
      </c>
      <c r="B323" s="541" t="s">
        <v>1464</v>
      </c>
      <c r="C323" s="574">
        <v>226436961</v>
      </c>
      <c r="D323" s="544"/>
      <c r="G323" s="541" t="s">
        <v>1461</v>
      </c>
      <c r="H323" s="541" t="s">
        <v>1462</v>
      </c>
      <c r="I323" s="574">
        <v>258084663</v>
      </c>
      <c r="J323" s="644">
        <v>258084663</v>
      </c>
    </row>
    <row r="324" spans="1:10">
      <c r="A324" s="541" t="s">
        <v>1465</v>
      </c>
      <c r="B324" s="541" t="s">
        <v>1466</v>
      </c>
      <c r="C324" s="574">
        <v>13143788</v>
      </c>
      <c r="D324" s="544"/>
      <c r="G324" s="541" t="s">
        <v>1451</v>
      </c>
      <c r="H324" s="541" t="s">
        <v>1452</v>
      </c>
      <c r="I324" s="574">
        <v>-158991851</v>
      </c>
      <c r="J324" s="644">
        <v>-158991851</v>
      </c>
    </row>
    <row r="325" spans="1:10">
      <c r="A325" s="541" t="s">
        <v>1467</v>
      </c>
      <c r="B325" s="541" t="s">
        <v>1468</v>
      </c>
      <c r="C325" s="574">
        <v>18503914</v>
      </c>
      <c r="G325" s="541" t="s">
        <v>1469</v>
      </c>
      <c r="H325" s="541" t="s">
        <v>1470</v>
      </c>
      <c r="J325" s="544"/>
    </row>
    <row r="326" spans="1:10">
      <c r="A326" s="541" t="s">
        <v>1461</v>
      </c>
      <c r="B326" s="541" t="s">
        <v>1462</v>
      </c>
      <c r="C326" s="574">
        <v>258084663</v>
      </c>
      <c r="G326" s="541" t="s">
        <v>1471</v>
      </c>
      <c r="H326" s="541" t="s">
        <v>1472</v>
      </c>
      <c r="I326" s="574"/>
    </row>
    <row r="327" spans="1:10">
      <c r="A327" s="541" t="s">
        <v>1451</v>
      </c>
      <c r="B327" s="541" t="s">
        <v>1452</v>
      </c>
      <c r="C327" s="574">
        <v>-158991851</v>
      </c>
      <c r="D327" s="544"/>
      <c r="G327" s="541" t="s">
        <v>1473</v>
      </c>
      <c r="H327" s="541" t="s">
        <v>1474</v>
      </c>
      <c r="I327" s="574">
        <v>-227774541</v>
      </c>
      <c r="J327" s="644">
        <v>-227774541</v>
      </c>
    </row>
    <row r="328" spans="1:10">
      <c r="A328" s="541" t="s">
        <v>1469</v>
      </c>
      <c r="B328" s="541" t="s">
        <v>1470</v>
      </c>
      <c r="C328" s="542"/>
      <c r="D328" s="544"/>
      <c r="G328" s="541" t="s">
        <v>1475</v>
      </c>
      <c r="H328" s="541" t="s">
        <v>1476</v>
      </c>
      <c r="I328" s="574">
        <v>-845972</v>
      </c>
      <c r="J328" s="644">
        <v>-845972</v>
      </c>
    </row>
    <row r="329" spans="1:10">
      <c r="A329" s="541" t="s">
        <v>1471</v>
      </c>
      <c r="B329" s="541" t="s">
        <v>1472</v>
      </c>
      <c r="C329" s="542"/>
      <c r="D329" s="544"/>
      <c r="G329" s="541" t="s">
        <v>1477</v>
      </c>
      <c r="H329" s="541" t="s">
        <v>1478</v>
      </c>
      <c r="I329" s="574">
        <v>-133999057</v>
      </c>
      <c r="J329" s="644">
        <v>-133999057</v>
      </c>
    </row>
    <row r="330" spans="1:10">
      <c r="A330" s="541" t="s">
        <v>1473</v>
      </c>
      <c r="B330" s="541" t="s">
        <v>1474</v>
      </c>
      <c r="C330" s="574">
        <v>-227774541</v>
      </c>
      <c r="G330" s="541" t="s">
        <v>1471</v>
      </c>
      <c r="H330" s="541" t="s">
        <v>1472</v>
      </c>
      <c r="I330" s="502">
        <v>-362619570</v>
      </c>
      <c r="J330" s="644">
        <v>-362619570</v>
      </c>
    </row>
    <row r="331" spans="1:10">
      <c r="A331" s="541" t="s">
        <v>1475</v>
      </c>
      <c r="B331" s="541" t="s">
        <v>1476</v>
      </c>
      <c r="C331" s="574">
        <v>-845972</v>
      </c>
      <c r="D331" s="544"/>
      <c r="G331" s="541" t="s">
        <v>1479</v>
      </c>
      <c r="H331" s="541" t="s">
        <v>1480</v>
      </c>
      <c r="J331" s="544"/>
    </row>
    <row r="332" spans="1:10">
      <c r="A332" s="541" t="s">
        <v>1477</v>
      </c>
      <c r="B332" s="541" t="s">
        <v>1478</v>
      </c>
      <c r="C332" s="574">
        <v>-133999057</v>
      </c>
      <c r="D332" s="544"/>
      <c r="G332" s="541" t="s">
        <v>1481</v>
      </c>
      <c r="H332" s="541" t="s">
        <v>1482</v>
      </c>
      <c r="I332" s="574">
        <v>149813434</v>
      </c>
      <c r="J332" s="523">
        <v>149813434</v>
      </c>
    </row>
    <row r="333" spans="1:10">
      <c r="A333" s="541" t="s">
        <v>1471</v>
      </c>
      <c r="B333" s="541" t="s">
        <v>1472</v>
      </c>
      <c r="C333" s="574">
        <v>-362619570</v>
      </c>
      <c r="D333" s="544"/>
      <c r="G333" s="541" t="s">
        <v>1483</v>
      </c>
      <c r="H333" s="541" t="s">
        <v>1484</v>
      </c>
      <c r="I333" s="574">
        <v>400661</v>
      </c>
      <c r="J333" s="523">
        <v>400661</v>
      </c>
    </row>
    <row r="334" spans="1:10">
      <c r="A334" s="541" t="s">
        <v>1479</v>
      </c>
      <c r="B334" s="541" t="s">
        <v>1480</v>
      </c>
      <c r="C334" s="502"/>
      <c r="D334" s="544"/>
      <c r="G334" s="541" t="s">
        <v>1485</v>
      </c>
      <c r="H334" s="541" t="s">
        <v>1486</v>
      </c>
      <c r="I334" s="574">
        <v>73840771</v>
      </c>
      <c r="J334" s="644">
        <v>73840771</v>
      </c>
    </row>
    <row r="335" spans="1:10">
      <c r="A335" s="541" t="s">
        <v>1481</v>
      </c>
      <c r="B335" s="541" t="s">
        <v>1482</v>
      </c>
      <c r="C335" s="574">
        <v>149813434</v>
      </c>
      <c r="G335" s="541" t="s">
        <v>1479</v>
      </c>
      <c r="H335" s="541" t="s">
        <v>1480</v>
      </c>
      <c r="I335" s="574">
        <v>224054866</v>
      </c>
      <c r="J335" s="644">
        <v>224054866</v>
      </c>
    </row>
    <row r="336" spans="1:10">
      <c r="A336" s="541" t="s">
        <v>1483</v>
      </c>
      <c r="B336" s="541" t="s">
        <v>1484</v>
      </c>
      <c r="C336" s="574">
        <v>400661</v>
      </c>
      <c r="G336" s="541" t="s">
        <v>1469</v>
      </c>
      <c r="H336" s="541" t="s">
        <v>1470</v>
      </c>
      <c r="I336" s="502">
        <v>-138564704</v>
      </c>
      <c r="J336" s="644">
        <v>-138564704</v>
      </c>
    </row>
    <row r="337" spans="1:10">
      <c r="A337" s="541" t="s">
        <v>1485</v>
      </c>
      <c r="B337" s="541" t="s">
        <v>1486</v>
      </c>
      <c r="C337" s="574">
        <v>73840771</v>
      </c>
      <c r="D337" s="544"/>
      <c r="G337" s="541" t="s">
        <v>1487</v>
      </c>
      <c r="H337" s="541" t="s">
        <v>1488</v>
      </c>
      <c r="I337" s="574"/>
    </row>
    <row r="338" spans="1:10">
      <c r="A338" s="541" t="s">
        <v>1479</v>
      </c>
      <c r="B338" s="541" t="s">
        <v>1480</v>
      </c>
      <c r="C338" s="574">
        <v>224054866</v>
      </c>
      <c r="D338" s="544"/>
      <c r="G338" s="541" t="s">
        <v>1489</v>
      </c>
      <c r="H338" s="541" t="s">
        <v>1490</v>
      </c>
      <c r="I338" s="574"/>
      <c r="J338" s="544"/>
    </row>
    <row r="339" spans="1:10">
      <c r="A339" s="541" t="s">
        <v>1469</v>
      </c>
      <c r="B339" s="541" t="s">
        <v>1470</v>
      </c>
      <c r="C339" s="574">
        <v>-138564704</v>
      </c>
      <c r="G339" s="541" t="s">
        <v>1491</v>
      </c>
      <c r="H339" s="541" t="s">
        <v>1492</v>
      </c>
      <c r="I339" s="574">
        <v>-4624611</v>
      </c>
      <c r="J339" s="644">
        <v>-4624611</v>
      </c>
    </row>
    <row r="340" spans="1:10">
      <c r="A340" s="541" t="s">
        <v>1487</v>
      </c>
      <c r="B340" s="541" t="s">
        <v>1488</v>
      </c>
      <c r="C340" s="542"/>
      <c r="D340" s="544"/>
      <c r="G340" s="541" t="s">
        <v>1489</v>
      </c>
      <c r="H340" s="541" t="s">
        <v>1490</v>
      </c>
      <c r="I340" s="574">
        <v>-4624611</v>
      </c>
      <c r="J340" s="644">
        <v>-4624611</v>
      </c>
    </row>
    <row r="341" spans="1:10">
      <c r="A341" s="541" t="s">
        <v>1489</v>
      </c>
      <c r="B341" s="541" t="s">
        <v>1490</v>
      </c>
      <c r="C341" s="542"/>
      <c r="D341" s="544"/>
      <c r="G341" s="541" t="s">
        <v>1493</v>
      </c>
      <c r="H341" s="541" t="s">
        <v>1494</v>
      </c>
      <c r="I341" s="574"/>
      <c r="J341" s="544"/>
    </row>
    <row r="342" spans="1:10">
      <c r="A342" s="541" t="s">
        <v>1491</v>
      </c>
      <c r="B342" s="541" t="s">
        <v>1492</v>
      </c>
      <c r="C342" s="574">
        <v>-4624611</v>
      </c>
      <c r="D342" s="544"/>
      <c r="G342" s="541" t="s">
        <v>1495</v>
      </c>
      <c r="H342" s="541" t="s">
        <v>1496</v>
      </c>
      <c r="I342" s="502">
        <v>3758872</v>
      </c>
      <c r="J342" s="523">
        <v>3758872</v>
      </c>
    </row>
    <row r="343" spans="1:10">
      <c r="A343" s="541" t="s">
        <v>1489</v>
      </c>
      <c r="B343" s="541" t="s">
        <v>1490</v>
      </c>
      <c r="C343" s="574">
        <v>-4624611</v>
      </c>
      <c r="G343" s="541" t="s">
        <v>1493</v>
      </c>
      <c r="H343" s="541" t="s">
        <v>1494</v>
      </c>
      <c r="I343" s="502">
        <v>3758872</v>
      </c>
      <c r="J343" s="523">
        <v>3758872</v>
      </c>
    </row>
    <row r="344" spans="1:10">
      <c r="A344" s="541" t="s">
        <v>1493</v>
      </c>
      <c r="B344" s="541" t="s">
        <v>1494</v>
      </c>
      <c r="C344" s="502"/>
      <c r="G344" s="541" t="s">
        <v>1487</v>
      </c>
      <c r="H344" s="541" t="s">
        <v>1488</v>
      </c>
      <c r="I344" s="574">
        <v>-865739</v>
      </c>
      <c r="J344" s="644">
        <v>-865739</v>
      </c>
    </row>
    <row r="345" spans="1:10">
      <c r="A345" s="541" t="s">
        <v>1495</v>
      </c>
      <c r="B345" s="541" t="s">
        <v>1496</v>
      </c>
      <c r="C345" s="574">
        <v>3758872</v>
      </c>
      <c r="D345" s="544"/>
      <c r="G345" s="541" t="s">
        <v>1497</v>
      </c>
      <c r="H345" s="541" t="s">
        <v>1498</v>
      </c>
      <c r="I345" s="574"/>
      <c r="J345" s="544"/>
    </row>
    <row r="346" spans="1:10">
      <c r="A346" s="541" t="s">
        <v>1493</v>
      </c>
      <c r="B346" s="541" t="s">
        <v>1494</v>
      </c>
      <c r="C346" s="574">
        <v>3758872</v>
      </c>
      <c r="D346" s="544"/>
      <c r="G346" s="541" t="s">
        <v>1499</v>
      </c>
      <c r="H346" s="541" t="s">
        <v>1500</v>
      </c>
      <c r="I346" s="574"/>
    </row>
    <row r="347" spans="1:10">
      <c r="A347" s="541" t="s">
        <v>1487</v>
      </c>
      <c r="B347" s="541" t="s">
        <v>1488</v>
      </c>
      <c r="C347" s="574">
        <v>-865739</v>
      </c>
      <c r="G347" s="541" t="s">
        <v>1501</v>
      </c>
      <c r="H347" s="541" t="s">
        <v>1502</v>
      </c>
      <c r="I347" s="574">
        <v>-3348617</v>
      </c>
      <c r="J347" s="644">
        <v>-3348617</v>
      </c>
    </row>
    <row r="348" spans="1:10">
      <c r="A348" s="541" t="s">
        <v>1497</v>
      </c>
      <c r="B348" s="541" t="s">
        <v>1498</v>
      </c>
      <c r="C348" s="502"/>
      <c r="D348" s="544"/>
      <c r="G348" s="541" t="s">
        <v>1499</v>
      </c>
      <c r="H348" s="541" t="s">
        <v>1500</v>
      </c>
      <c r="I348" s="502">
        <v>-3348617</v>
      </c>
      <c r="J348" s="644">
        <v>-3348617</v>
      </c>
    </row>
    <row r="349" spans="1:10">
      <c r="A349" s="541" t="s">
        <v>1499</v>
      </c>
      <c r="B349" s="541" t="s">
        <v>1500</v>
      </c>
      <c r="C349" s="502"/>
      <c r="D349" s="544"/>
      <c r="G349" s="541" t="s">
        <v>1503</v>
      </c>
      <c r="H349" s="541" t="s">
        <v>1504</v>
      </c>
      <c r="I349" s="574"/>
      <c r="J349" s="544"/>
    </row>
    <row r="350" spans="1:10">
      <c r="A350" s="541" t="s">
        <v>1501</v>
      </c>
      <c r="B350" s="541" t="s">
        <v>1502</v>
      </c>
      <c r="C350" s="574">
        <v>-3348617</v>
      </c>
      <c r="D350" s="544"/>
      <c r="G350" s="541" t="s">
        <v>1505</v>
      </c>
      <c r="H350" s="541" t="s">
        <v>1502</v>
      </c>
      <c r="I350" s="574">
        <v>2161785</v>
      </c>
      <c r="J350" s="523">
        <v>2161785</v>
      </c>
    </row>
    <row r="351" spans="1:10">
      <c r="A351" s="541" t="s">
        <v>1499</v>
      </c>
      <c r="B351" s="541" t="s">
        <v>1500</v>
      </c>
      <c r="C351" s="574">
        <v>-3348617</v>
      </c>
      <c r="G351" s="541" t="s">
        <v>1503</v>
      </c>
      <c r="H351" s="541" t="s">
        <v>1504</v>
      </c>
      <c r="I351" s="574">
        <v>2161785</v>
      </c>
      <c r="J351" s="523">
        <v>2161785</v>
      </c>
    </row>
    <row r="352" spans="1:10">
      <c r="A352" s="541" t="s">
        <v>1503</v>
      </c>
      <c r="B352" s="541" t="s">
        <v>1504</v>
      </c>
      <c r="C352" s="502"/>
      <c r="G352" s="541" t="s">
        <v>1497</v>
      </c>
      <c r="H352" s="541" t="s">
        <v>1498</v>
      </c>
      <c r="I352" s="574">
        <v>-1186832</v>
      </c>
      <c r="J352" s="644">
        <v>-1186832</v>
      </c>
    </row>
    <row r="353" spans="1:10">
      <c r="A353" s="541" t="s">
        <v>1505</v>
      </c>
      <c r="B353" s="541" t="s">
        <v>1502</v>
      </c>
      <c r="C353" s="574">
        <v>2161785</v>
      </c>
      <c r="D353" s="544"/>
      <c r="G353" s="541" t="s">
        <v>1506</v>
      </c>
      <c r="H353" s="541" t="s">
        <v>1507</v>
      </c>
      <c r="I353" s="574"/>
      <c r="J353" s="544"/>
    </row>
    <row r="354" spans="1:10">
      <c r="A354" s="541" t="s">
        <v>1503</v>
      </c>
      <c r="B354" s="541" t="s">
        <v>1504</v>
      </c>
      <c r="C354" s="574">
        <v>2161785</v>
      </c>
      <c r="D354" s="544"/>
      <c r="G354" s="541" t="s">
        <v>1508</v>
      </c>
      <c r="H354" s="541" t="s">
        <v>1509</v>
      </c>
    </row>
    <row r="355" spans="1:10">
      <c r="A355" s="541" t="s">
        <v>1497</v>
      </c>
      <c r="B355" s="541" t="s">
        <v>1498</v>
      </c>
      <c r="C355" s="574">
        <v>-1186832</v>
      </c>
      <c r="G355" s="541" t="s">
        <v>1510</v>
      </c>
      <c r="H355" s="541" t="s">
        <v>1511</v>
      </c>
      <c r="I355" s="502">
        <v>-372728</v>
      </c>
      <c r="J355" s="644">
        <v>-372728</v>
      </c>
    </row>
    <row r="356" spans="1:10">
      <c r="A356" s="541" t="s">
        <v>1506</v>
      </c>
      <c r="B356" s="541" t="s">
        <v>1507</v>
      </c>
      <c r="C356" s="542"/>
      <c r="D356" s="544"/>
      <c r="G356" s="541" t="s">
        <v>1508</v>
      </c>
      <c r="H356" s="541" t="s">
        <v>1509</v>
      </c>
      <c r="I356" s="574">
        <v>-372728</v>
      </c>
      <c r="J356" s="644">
        <v>-372728</v>
      </c>
    </row>
    <row r="357" spans="1:10">
      <c r="A357" s="541" t="s">
        <v>1508</v>
      </c>
      <c r="B357" s="541" t="s">
        <v>1509</v>
      </c>
      <c r="C357" s="542"/>
      <c r="D357" s="544"/>
      <c r="G357" s="541" t="s">
        <v>1512</v>
      </c>
      <c r="H357" s="541" t="s">
        <v>1513</v>
      </c>
      <c r="I357" s="574"/>
      <c r="J357" s="544"/>
    </row>
    <row r="358" spans="1:10">
      <c r="A358" s="541" t="s">
        <v>1510</v>
      </c>
      <c r="B358" s="541" t="s">
        <v>1511</v>
      </c>
      <c r="C358" s="574">
        <v>-372728</v>
      </c>
      <c r="D358" s="544"/>
      <c r="G358" s="541" t="s">
        <v>1514</v>
      </c>
      <c r="H358" s="541" t="s">
        <v>1511</v>
      </c>
      <c r="I358" s="502">
        <v>519124</v>
      </c>
      <c r="J358" s="523">
        <v>519124</v>
      </c>
    </row>
    <row r="359" spans="1:10">
      <c r="A359" s="541" t="s">
        <v>1508</v>
      </c>
      <c r="B359" s="541" t="s">
        <v>1509</v>
      </c>
      <c r="C359" s="574">
        <v>-372728</v>
      </c>
      <c r="G359" s="541" t="s">
        <v>1512</v>
      </c>
      <c r="H359" s="541" t="s">
        <v>1513</v>
      </c>
      <c r="I359" s="574">
        <v>519124</v>
      </c>
      <c r="J359" s="523">
        <v>519124</v>
      </c>
    </row>
    <row r="360" spans="1:10">
      <c r="A360" s="541" t="s">
        <v>1512</v>
      </c>
      <c r="B360" s="541" t="s">
        <v>1513</v>
      </c>
      <c r="C360" s="502"/>
      <c r="G360" s="541" t="s">
        <v>1506</v>
      </c>
      <c r="H360" s="541" t="s">
        <v>1507</v>
      </c>
      <c r="I360" s="574">
        <v>146396</v>
      </c>
      <c r="J360" s="644">
        <v>146396</v>
      </c>
    </row>
    <row r="361" spans="1:10">
      <c r="A361" s="541" t="s">
        <v>1514</v>
      </c>
      <c r="B361" s="541" t="s">
        <v>1511</v>
      </c>
      <c r="C361" s="574">
        <v>519124</v>
      </c>
      <c r="D361" s="544"/>
      <c r="G361" s="541" t="s">
        <v>1515</v>
      </c>
      <c r="H361" s="541" t="s">
        <v>1516</v>
      </c>
      <c r="I361" s="574"/>
      <c r="J361" s="544"/>
    </row>
    <row r="362" spans="1:10">
      <c r="A362" s="541" t="s">
        <v>1512</v>
      </c>
      <c r="B362" s="541" t="s">
        <v>1513</v>
      </c>
      <c r="C362" s="574">
        <v>519124</v>
      </c>
      <c r="D362" s="544"/>
      <c r="G362" s="541" t="s">
        <v>1517</v>
      </c>
      <c r="H362" s="541" t="s">
        <v>1518</v>
      </c>
    </row>
    <row r="363" spans="1:10">
      <c r="A363" s="541" t="s">
        <v>1506</v>
      </c>
      <c r="B363" s="541" t="s">
        <v>1507</v>
      </c>
      <c r="C363" s="574">
        <v>146396</v>
      </c>
      <c r="D363" s="544"/>
      <c r="G363" s="541" t="s">
        <v>1519</v>
      </c>
      <c r="H363" s="541" t="s">
        <v>1266</v>
      </c>
      <c r="I363" s="502">
        <v>78566</v>
      </c>
      <c r="J363" s="644">
        <v>78566</v>
      </c>
    </row>
    <row r="364" spans="1:10">
      <c r="A364" s="541" t="s">
        <v>1515</v>
      </c>
      <c r="B364" s="541" t="s">
        <v>1516</v>
      </c>
      <c r="C364" s="502"/>
      <c r="D364" s="544"/>
      <c r="G364" s="541" t="s">
        <v>1517</v>
      </c>
      <c r="H364" s="541" t="s">
        <v>1518</v>
      </c>
      <c r="I364" s="574">
        <v>78566</v>
      </c>
      <c r="J364" s="644">
        <v>78566</v>
      </c>
    </row>
    <row r="365" spans="1:10">
      <c r="A365" s="541" t="s">
        <v>1517</v>
      </c>
      <c r="B365" s="541" t="s">
        <v>1518</v>
      </c>
      <c r="C365" s="502"/>
      <c r="G365" s="541" t="s">
        <v>1520</v>
      </c>
      <c r="H365" s="541" t="s">
        <v>1521</v>
      </c>
      <c r="I365" s="574"/>
      <c r="J365" s="544"/>
    </row>
    <row r="366" spans="1:10">
      <c r="A366" s="541" t="s">
        <v>1519</v>
      </c>
      <c r="B366" s="541" t="s">
        <v>1266</v>
      </c>
      <c r="C366" s="574">
        <v>78566</v>
      </c>
      <c r="D366" s="544"/>
      <c r="G366" s="541" t="s">
        <v>1522</v>
      </c>
      <c r="H366" s="541" t="s">
        <v>1266</v>
      </c>
      <c r="I366" s="502">
        <v>-127273</v>
      </c>
      <c r="J366" s="523">
        <v>-127273</v>
      </c>
    </row>
    <row r="367" spans="1:10">
      <c r="A367" s="541" t="s">
        <v>1517</v>
      </c>
      <c r="B367" s="541" t="s">
        <v>1518</v>
      </c>
      <c r="C367" s="574">
        <v>78566</v>
      </c>
      <c r="D367" s="544"/>
      <c r="G367" s="541" t="s">
        <v>1520</v>
      </c>
      <c r="H367" s="541" t="s">
        <v>1521</v>
      </c>
      <c r="I367" s="574">
        <v>-127273</v>
      </c>
      <c r="J367" s="523">
        <v>-127273</v>
      </c>
    </row>
    <row r="368" spans="1:10">
      <c r="A368" s="541" t="s">
        <v>1520</v>
      </c>
      <c r="B368" s="541" t="s">
        <v>1521</v>
      </c>
      <c r="C368" s="542"/>
      <c r="D368" s="544"/>
      <c r="G368" s="541" t="s">
        <v>1515</v>
      </c>
      <c r="H368" s="541" t="s">
        <v>1516</v>
      </c>
      <c r="I368" s="574">
        <v>-48707</v>
      </c>
      <c r="J368" s="644">
        <v>-48707</v>
      </c>
    </row>
    <row r="369" spans="1:10">
      <c r="A369" s="541" t="s">
        <v>1522</v>
      </c>
      <c r="B369" s="541" t="s">
        <v>1266</v>
      </c>
      <c r="C369" s="574">
        <v>-127273</v>
      </c>
      <c r="D369" s="544"/>
      <c r="G369" s="541" t="s">
        <v>1772</v>
      </c>
      <c r="H369" s="541" t="s">
        <v>1773</v>
      </c>
      <c r="I369" s="574"/>
      <c r="J369" s="544"/>
    </row>
    <row r="370" spans="1:10">
      <c r="A370" s="541" t="s">
        <v>1520</v>
      </c>
      <c r="B370" s="541" t="s">
        <v>1521</v>
      </c>
      <c r="C370" s="574">
        <v>-127273</v>
      </c>
      <c r="D370" s="544"/>
      <c r="G370" s="541" t="s">
        <v>2018</v>
      </c>
      <c r="H370" s="541" t="s">
        <v>1847</v>
      </c>
      <c r="J370" s="544"/>
    </row>
    <row r="371" spans="1:10">
      <c r="A371" s="541" t="s">
        <v>1515</v>
      </c>
      <c r="B371" s="541" t="s">
        <v>1516</v>
      </c>
      <c r="C371" s="574">
        <v>-48707</v>
      </c>
      <c r="G371" s="541" t="s">
        <v>2019</v>
      </c>
      <c r="H371" s="541" t="s">
        <v>1848</v>
      </c>
      <c r="I371" s="502">
        <v>-36693</v>
      </c>
      <c r="J371" s="644">
        <v>-36693</v>
      </c>
    </row>
    <row r="372" spans="1:10">
      <c r="A372" s="541" t="s">
        <v>1772</v>
      </c>
      <c r="B372" s="541" t="s">
        <v>1773</v>
      </c>
      <c r="C372" s="542"/>
      <c r="G372" s="541" t="s">
        <v>2018</v>
      </c>
      <c r="H372" s="541" t="s">
        <v>1847</v>
      </c>
      <c r="I372" s="574">
        <v>-36693</v>
      </c>
      <c r="J372" s="523">
        <v>-36693</v>
      </c>
    </row>
    <row r="373" spans="1:10">
      <c r="A373" s="541" t="s">
        <v>1774</v>
      </c>
      <c r="B373" s="541" t="s">
        <v>1775</v>
      </c>
      <c r="C373" s="542"/>
      <c r="D373" s="544"/>
      <c r="G373" s="541" t="s">
        <v>1772</v>
      </c>
      <c r="H373" s="541" t="s">
        <v>1773</v>
      </c>
      <c r="I373" s="574">
        <v>-36693</v>
      </c>
      <c r="J373" s="644">
        <v>-36693</v>
      </c>
    </row>
    <row r="374" spans="1:10">
      <c r="A374" s="541" t="s">
        <v>1776</v>
      </c>
      <c r="B374" s="541" t="s">
        <v>1777</v>
      </c>
      <c r="D374" s="544"/>
      <c r="G374" s="541" t="s">
        <v>1523</v>
      </c>
      <c r="H374" s="541" t="s">
        <v>1524</v>
      </c>
      <c r="J374" s="544"/>
    </row>
    <row r="375" spans="1:10">
      <c r="A375" s="541" t="s">
        <v>1774</v>
      </c>
      <c r="B375" s="541" t="s">
        <v>1775</v>
      </c>
      <c r="C375" s="542"/>
      <c r="D375" s="544"/>
      <c r="G375" s="541" t="s">
        <v>1525</v>
      </c>
      <c r="H375" s="541" t="s">
        <v>1526</v>
      </c>
      <c r="I375" s="574"/>
      <c r="J375" s="544"/>
    </row>
    <row r="376" spans="1:10">
      <c r="A376" s="541" t="s">
        <v>1772</v>
      </c>
      <c r="B376" s="541" t="s">
        <v>1773</v>
      </c>
      <c r="C376" s="542"/>
      <c r="D376" s="544"/>
      <c r="G376" s="541" t="s">
        <v>1527</v>
      </c>
      <c r="H376" s="541" t="s">
        <v>1528</v>
      </c>
      <c r="I376" s="574">
        <v>-6299227</v>
      </c>
      <c r="J376" s="644">
        <v>-6299227</v>
      </c>
    </row>
    <row r="377" spans="1:10">
      <c r="A377" s="541" t="s">
        <v>2019</v>
      </c>
      <c r="B377" s="541" t="s">
        <v>1848</v>
      </c>
      <c r="C377" s="574">
        <v>-36693</v>
      </c>
      <c r="G377" s="541" t="s">
        <v>1529</v>
      </c>
      <c r="H377" s="541" t="s">
        <v>1530</v>
      </c>
      <c r="I377" s="574">
        <v>-1889973</v>
      </c>
      <c r="J377" s="644">
        <v>-1889973</v>
      </c>
    </row>
    <row r="378" spans="1:10">
      <c r="A378" s="541" t="s">
        <v>2018</v>
      </c>
      <c r="B378" s="541" t="s">
        <v>1847</v>
      </c>
      <c r="C378" s="574">
        <v>-36693</v>
      </c>
      <c r="D378" s="544"/>
      <c r="G378" s="541" t="s">
        <v>1525</v>
      </c>
      <c r="H378" s="541" t="s">
        <v>1526</v>
      </c>
      <c r="I378" s="502">
        <v>-8189200</v>
      </c>
      <c r="J378" s="523">
        <v>-8189200</v>
      </c>
    </row>
    <row r="379" spans="1:10">
      <c r="A379" s="541" t="s">
        <v>1772</v>
      </c>
      <c r="B379" s="541" t="s">
        <v>1773</v>
      </c>
      <c r="C379" s="574">
        <v>-36693</v>
      </c>
      <c r="D379" s="544"/>
      <c r="G379" s="541" t="s">
        <v>1531</v>
      </c>
      <c r="H379" s="541" t="s">
        <v>1532</v>
      </c>
    </row>
    <row r="380" spans="1:10">
      <c r="A380" s="541" t="s">
        <v>1523</v>
      </c>
      <c r="B380" s="541" t="s">
        <v>1524</v>
      </c>
      <c r="C380" s="542"/>
      <c r="D380" s="544"/>
      <c r="G380" s="541" t="s">
        <v>1533</v>
      </c>
      <c r="H380" s="541" t="s">
        <v>1534</v>
      </c>
      <c r="I380" s="574">
        <v>4095586</v>
      </c>
      <c r="J380" s="644">
        <v>4095586</v>
      </c>
    </row>
    <row r="381" spans="1:10">
      <c r="A381" s="541" t="s">
        <v>1525</v>
      </c>
      <c r="B381" s="541" t="s">
        <v>1526</v>
      </c>
      <c r="D381" s="544"/>
      <c r="G381" s="541" t="s">
        <v>1535</v>
      </c>
      <c r="H381" s="541" t="s">
        <v>1536</v>
      </c>
      <c r="I381" s="574">
        <v>1058341</v>
      </c>
      <c r="J381" s="644">
        <v>1058341</v>
      </c>
    </row>
    <row r="382" spans="1:10">
      <c r="A382" s="541" t="s">
        <v>1527</v>
      </c>
      <c r="B382" s="541" t="s">
        <v>1528</v>
      </c>
      <c r="C382" s="574">
        <v>-6299227</v>
      </c>
      <c r="D382" s="544"/>
      <c r="G382" s="541" t="s">
        <v>1531</v>
      </c>
      <c r="H382" s="541" t="s">
        <v>1532</v>
      </c>
      <c r="I382" s="502">
        <v>5153927</v>
      </c>
      <c r="J382" s="644">
        <v>5153927</v>
      </c>
    </row>
    <row r="383" spans="1:10">
      <c r="A383" s="541" t="s">
        <v>1529</v>
      </c>
      <c r="B383" s="541" t="s">
        <v>1530</v>
      </c>
      <c r="C383" s="574">
        <v>-1889973</v>
      </c>
      <c r="G383" s="541" t="s">
        <v>1523</v>
      </c>
      <c r="H383" s="541" t="s">
        <v>1524</v>
      </c>
      <c r="I383" s="574">
        <v>-3035273</v>
      </c>
      <c r="J383" s="644">
        <v>-3035273</v>
      </c>
    </row>
    <row r="384" spans="1:10">
      <c r="A384" s="541" t="s">
        <v>1525</v>
      </c>
      <c r="B384" s="541" t="s">
        <v>1526</v>
      </c>
      <c r="C384" s="574">
        <v>-8189200</v>
      </c>
      <c r="G384" s="541" t="s">
        <v>1537</v>
      </c>
      <c r="H384" s="541" t="s">
        <v>1538</v>
      </c>
      <c r="I384" s="574"/>
    </row>
    <row r="385" spans="1:11">
      <c r="A385" s="541" t="s">
        <v>1531</v>
      </c>
      <c r="B385" s="541" t="s">
        <v>1532</v>
      </c>
      <c r="C385" s="542"/>
      <c r="D385" s="544"/>
      <c r="G385" s="541" t="s">
        <v>1539</v>
      </c>
      <c r="H385" s="541" t="s">
        <v>1540</v>
      </c>
      <c r="I385" s="574"/>
      <c r="J385" s="544"/>
    </row>
    <row r="386" spans="1:11">
      <c r="A386" s="541" t="s">
        <v>1533</v>
      </c>
      <c r="B386" s="541" t="s">
        <v>1534</v>
      </c>
      <c r="C386" s="574">
        <v>4095586</v>
      </c>
      <c r="D386" s="544"/>
      <c r="G386" s="541" t="s">
        <v>1543</v>
      </c>
      <c r="H386" s="541" t="s">
        <v>1544</v>
      </c>
      <c r="I386" s="502">
        <v>-15968186</v>
      </c>
      <c r="J386" s="644">
        <v>-15968186</v>
      </c>
    </row>
    <row r="387" spans="1:11">
      <c r="A387" s="541" t="s">
        <v>1535</v>
      </c>
      <c r="B387" s="541" t="s">
        <v>1536</v>
      </c>
      <c r="C387" s="574">
        <v>1058341</v>
      </c>
      <c r="D387" s="544"/>
      <c r="G387" s="541" t="s">
        <v>1778</v>
      </c>
      <c r="H387" s="541" t="s">
        <v>1779</v>
      </c>
      <c r="I387" s="502">
        <v>-9511029</v>
      </c>
      <c r="J387" s="644">
        <v>-9511029</v>
      </c>
    </row>
    <row r="388" spans="1:11">
      <c r="A388" s="541" t="s">
        <v>1531</v>
      </c>
      <c r="B388" s="541" t="s">
        <v>1532</v>
      </c>
      <c r="C388" s="574">
        <v>5153927</v>
      </c>
      <c r="D388" s="544"/>
      <c r="G388" s="541" t="s">
        <v>1780</v>
      </c>
      <c r="H388" s="541" t="s">
        <v>1781</v>
      </c>
      <c r="I388" s="574">
        <v>-5357282</v>
      </c>
      <c r="J388" s="644">
        <v>-5357282</v>
      </c>
    </row>
    <row r="389" spans="1:11">
      <c r="A389" s="541" t="s">
        <v>1523</v>
      </c>
      <c r="B389" s="541" t="s">
        <v>1524</v>
      </c>
      <c r="C389" s="574">
        <v>-3035273</v>
      </c>
      <c r="D389" s="544"/>
      <c r="G389" s="541" t="s">
        <v>2033</v>
      </c>
      <c r="H389" s="541" t="s">
        <v>1545</v>
      </c>
      <c r="I389" s="574">
        <v>-83643</v>
      </c>
      <c r="J389" s="644">
        <v>-83643</v>
      </c>
    </row>
    <row r="390" spans="1:11">
      <c r="A390" s="541" t="s">
        <v>1537</v>
      </c>
      <c r="B390" s="541" t="s">
        <v>1538</v>
      </c>
      <c r="C390" s="542"/>
      <c r="D390" s="544"/>
      <c r="G390" s="541" t="s">
        <v>1539</v>
      </c>
      <c r="H390" s="541" t="s">
        <v>1540</v>
      </c>
      <c r="I390" s="502">
        <v>-30920140</v>
      </c>
      <c r="J390" s="523">
        <v>-30920140</v>
      </c>
    </row>
    <row r="391" spans="1:11">
      <c r="A391" s="541" t="s">
        <v>1539</v>
      </c>
      <c r="B391" s="541" t="s">
        <v>1540</v>
      </c>
      <c r="C391" s="542"/>
      <c r="D391" s="544"/>
      <c r="G391" s="541" t="s">
        <v>2034</v>
      </c>
      <c r="H391" s="541" t="s">
        <v>1546</v>
      </c>
      <c r="I391" s="574"/>
    </row>
    <row r="392" spans="1:11">
      <c r="A392" s="541" t="s">
        <v>1541</v>
      </c>
      <c r="B392" s="541" t="s">
        <v>1542</v>
      </c>
      <c r="C392" s="574"/>
      <c r="D392" s="544"/>
      <c r="G392" s="541" t="s">
        <v>2035</v>
      </c>
      <c r="H392" s="541" t="s">
        <v>1547</v>
      </c>
      <c r="I392" s="574">
        <v>84100</v>
      </c>
      <c r="J392" s="644">
        <v>84100</v>
      </c>
    </row>
    <row r="393" spans="1:11">
      <c r="A393" s="541" t="s">
        <v>1543</v>
      </c>
      <c r="B393" s="541" t="s">
        <v>1544</v>
      </c>
      <c r="C393" s="574">
        <v>-15968186</v>
      </c>
      <c r="D393" s="544"/>
      <c r="G393" s="541" t="s">
        <v>2034</v>
      </c>
      <c r="H393" s="541" t="s">
        <v>1546</v>
      </c>
      <c r="I393" s="574">
        <v>84100</v>
      </c>
      <c r="J393" s="644">
        <v>84100</v>
      </c>
    </row>
    <row r="394" spans="1:11">
      <c r="A394" s="541" t="s">
        <v>1778</v>
      </c>
      <c r="B394" s="541" t="s">
        <v>1779</v>
      </c>
      <c r="C394" s="574">
        <v>-9511029</v>
      </c>
      <c r="G394" s="541" t="s">
        <v>1537</v>
      </c>
      <c r="H394" s="541" t="s">
        <v>1538</v>
      </c>
      <c r="I394" s="502">
        <v>-30836040</v>
      </c>
      <c r="J394" s="644">
        <v>-30836040</v>
      </c>
    </row>
    <row r="395" spans="1:11">
      <c r="A395" s="541" t="s">
        <v>1780</v>
      </c>
      <c r="B395" s="541" t="s">
        <v>1781</v>
      </c>
      <c r="C395" s="574">
        <v>-5357282</v>
      </c>
      <c r="G395" s="541" t="s">
        <v>1548</v>
      </c>
      <c r="H395" s="541" t="s">
        <v>1549</v>
      </c>
      <c r="J395" s="544"/>
    </row>
    <row r="396" spans="1:11">
      <c r="A396" s="541" t="s">
        <v>2046</v>
      </c>
      <c r="B396" s="541" t="s">
        <v>2047</v>
      </c>
      <c r="C396" s="574"/>
      <c r="D396" s="544"/>
      <c r="G396" s="541" t="s">
        <v>1550</v>
      </c>
      <c r="H396" s="541" t="s">
        <v>1551</v>
      </c>
      <c r="I396" s="574"/>
      <c r="J396" s="544"/>
    </row>
    <row r="397" spans="1:11">
      <c r="A397" s="541" t="s">
        <v>2033</v>
      </c>
      <c r="B397" s="541" t="s">
        <v>1545</v>
      </c>
      <c r="C397" s="574">
        <v>-83643</v>
      </c>
      <c r="D397" s="544"/>
      <c r="G397" s="541" t="s">
        <v>1552</v>
      </c>
      <c r="H397" s="541" t="s">
        <v>1553</v>
      </c>
      <c r="I397" s="574">
        <v>-1400000</v>
      </c>
      <c r="J397" s="644">
        <v>-1400000</v>
      </c>
    </row>
    <row r="398" spans="1:11">
      <c r="A398" s="541" t="s">
        <v>1539</v>
      </c>
      <c r="B398" s="541" t="s">
        <v>1540</v>
      </c>
      <c r="C398" s="574">
        <v>-30920140</v>
      </c>
      <c r="G398" s="541" t="s">
        <v>1554</v>
      </c>
      <c r="H398" s="541" t="s">
        <v>1555</v>
      </c>
      <c r="I398" s="574">
        <v>-24710000</v>
      </c>
      <c r="J398" s="644">
        <v>-24710000</v>
      </c>
      <c r="K398" s="523">
        <v>3613607</v>
      </c>
    </row>
    <row r="399" spans="1:11">
      <c r="A399" s="541" t="s">
        <v>2034</v>
      </c>
      <c r="B399" s="541" t="s">
        <v>1546</v>
      </c>
      <c r="C399" s="502"/>
      <c r="D399" s="544"/>
      <c r="G399" s="541" t="s">
        <v>1556</v>
      </c>
      <c r="H399" s="541" t="s">
        <v>1557</v>
      </c>
      <c r="I399" s="502">
        <v>-39230000</v>
      </c>
      <c r="J399" s="644">
        <v>-39230000</v>
      </c>
    </row>
    <row r="400" spans="1:11">
      <c r="A400" s="541" t="s">
        <v>2048</v>
      </c>
      <c r="B400" s="541" t="s">
        <v>2049</v>
      </c>
      <c r="C400" s="574"/>
      <c r="D400" s="544"/>
      <c r="G400" s="541" t="s">
        <v>1782</v>
      </c>
      <c r="H400" s="541" t="s">
        <v>1783</v>
      </c>
      <c r="I400" s="574">
        <v>-1600000</v>
      </c>
      <c r="J400" s="644">
        <v>-1600000</v>
      </c>
    </row>
    <row r="401" spans="1:11">
      <c r="A401" s="541" t="s">
        <v>2035</v>
      </c>
      <c r="B401" s="541" t="s">
        <v>1547</v>
      </c>
      <c r="C401" s="574">
        <v>84100</v>
      </c>
      <c r="D401" s="544"/>
      <c r="G401" s="541" t="s">
        <v>1558</v>
      </c>
      <c r="H401" s="541" t="s">
        <v>1559</v>
      </c>
      <c r="I401" s="574">
        <v>-12020000</v>
      </c>
      <c r="J401" s="523">
        <v>-12020000</v>
      </c>
    </row>
    <row r="402" spans="1:11">
      <c r="A402" s="541" t="s">
        <v>2034</v>
      </c>
      <c r="B402" s="541" t="s">
        <v>1546</v>
      </c>
      <c r="C402" s="574">
        <v>84100</v>
      </c>
      <c r="D402" s="544"/>
      <c r="G402" s="541" t="s">
        <v>1784</v>
      </c>
      <c r="H402" s="541" t="s">
        <v>1785</v>
      </c>
      <c r="I402" s="574">
        <v>-770000</v>
      </c>
      <c r="J402" s="523">
        <v>-770000</v>
      </c>
    </row>
    <row r="403" spans="1:11">
      <c r="A403" s="541" t="s">
        <v>1537</v>
      </c>
      <c r="B403" s="541" t="s">
        <v>1538</v>
      </c>
      <c r="C403" s="574">
        <v>-30836040</v>
      </c>
      <c r="G403" s="541" t="s">
        <v>1560</v>
      </c>
      <c r="H403" s="541" t="s">
        <v>1561</v>
      </c>
      <c r="I403" s="574">
        <v>-7610000</v>
      </c>
      <c r="J403" s="644">
        <v>-7610000</v>
      </c>
    </row>
    <row r="404" spans="1:11">
      <c r="A404" s="541" t="s">
        <v>1548</v>
      </c>
      <c r="B404" s="541" t="s">
        <v>1549</v>
      </c>
      <c r="C404" s="542"/>
      <c r="G404" s="541" t="s">
        <v>2036</v>
      </c>
      <c r="H404" s="541" t="s">
        <v>1562</v>
      </c>
      <c r="I404" s="502">
        <v>-330000</v>
      </c>
      <c r="J404" s="644">
        <v>-330000</v>
      </c>
    </row>
    <row r="405" spans="1:11">
      <c r="A405" s="541" t="s">
        <v>1550</v>
      </c>
      <c r="B405" s="541" t="s">
        <v>1551</v>
      </c>
      <c r="G405" s="541" t="s">
        <v>1550</v>
      </c>
      <c r="H405" s="541" t="s">
        <v>1551</v>
      </c>
      <c r="I405" s="502">
        <v>-87670000</v>
      </c>
      <c r="J405" s="523">
        <v>-87670000</v>
      </c>
      <c r="K405" s="523">
        <v>91598</v>
      </c>
    </row>
    <row r="406" spans="1:11">
      <c r="A406" s="541" t="s">
        <v>1552</v>
      </c>
      <c r="B406" s="541" t="s">
        <v>1553</v>
      </c>
      <c r="C406" s="574">
        <v>-1400000</v>
      </c>
      <c r="D406" s="544"/>
      <c r="G406" s="541" t="s">
        <v>1548</v>
      </c>
      <c r="H406" s="541" t="s">
        <v>1549</v>
      </c>
      <c r="I406" s="574">
        <v>-87670000</v>
      </c>
      <c r="J406" s="644">
        <v>-87670000</v>
      </c>
      <c r="K406" s="523">
        <v>1426982</v>
      </c>
    </row>
    <row r="407" spans="1:11">
      <c r="A407" s="541" t="s">
        <v>1554</v>
      </c>
      <c r="B407" s="541" t="s">
        <v>1555</v>
      </c>
      <c r="C407" s="574">
        <v>-24710000</v>
      </c>
      <c r="D407" s="544"/>
      <c r="G407" s="541"/>
      <c r="H407" s="541"/>
      <c r="I407" s="574"/>
      <c r="J407" s="644"/>
      <c r="K407" s="523"/>
    </row>
    <row r="408" spans="1:11">
      <c r="A408" s="541" t="s">
        <v>1556</v>
      </c>
      <c r="B408" s="541" t="s">
        <v>1557</v>
      </c>
      <c r="C408" s="574">
        <v>-39230000</v>
      </c>
      <c r="D408" s="544"/>
      <c r="G408" s="541"/>
      <c r="H408" s="541"/>
      <c r="I408" s="574"/>
      <c r="J408" s="644"/>
      <c r="K408" s="523"/>
    </row>
    <row r="409" spans="1:11">
      <c r="A409" s="541" t="s">
        <v>1782</v>
      </c>
      <c r="B409" s="541" t="s">
        <v>1783</v>
      </c>
      <c r="C409" s="574">
        <v>-1600000</v>
      </c>
      <c r="D409" s="544"/>
      <c r="G409" s="541"/>
      <c r="H409" s="541"/>
      <c r="I409" s="574"/>
      <c r="J409" s="644"/>
      <c r="K409" s="523"/>
    </row>
    <row r="410" spans="1:11">
      <c r="A410" s="541" t="s">
        <v>1558</v>
      </c>
      <c r="B410" s="541" t="s">
        <v>1559</v>
      </c>
      <c r="C410" s="574">
        <v>-12020000</v>
      </c>
      <c r="D410" s="544"/>
      <c r="G410" s="541"/>
      <c r="H410" s="541"/>
      <c r="I410" s="574"/>
      <c r="J410" s="644"/>
      <c r="K410" s="523"/>
    </row>
    <row r="411" spans="1:11">
      <c r="A411" s="541" t="s">
        <v>1784</v>
      </c>
      <c r="B411" s="541" t="s">
        <v>1785</v>
      </c>
      <c r="C411" s="574">
        <v>-770000</v>
      </c>
      <c r="D411" s="544"/>
      <c r="G411" s="541"/>
      <c r="H411" s="541"/>
      <c r="I411" s="574"/>
      <c r="J411" s="644"/>
      <c r="K411" s="523"/>
    </row>
    <row r="412" spans="1:11">
      <c r="A412" s="541" t="s">
        <v>2050</v>
      </c>
      <c r="B412" s="541" t="s">
        <v>1913</v>
      </c>
      <c r="C412" s="574"/>
      <c r="D412" s="544"/>
      <c r="G412" s="541"/>
      <c r="H412" s="541"/>
      <c r="I412" s="574"/>
      <c r="J412" s="644"/>
      <c r="K412" s="523"/>
    </row>
    <row r="413" spans="1:11">
      <c r="A413" s="541" t="s">
        <v>1560</v>
      </c>
      <c r="B413" s="541" t="s">
        <v>1561</v>
      </c>
      <c r="C413" s="574">
        <v>-7610000</v>
      </c>
      <c r="G413" s="541"/>
      <c r="H413" s="541"/>
      <c r="I413" s="574"/>
      <c r="J413" s="644"/>
      <c r="K413" s="523"/>
    </row>
    <row r="414" spans="1:11">
      <c r="A414" s="541" t="s">
        <v>2036</v>
      </c>
      <c r="B414" s="541" t="s">
        <v>1562</v>
      </c>
      <c r="C414" s="574">
        <v>-330000</v>
      </c>
      <c r="G414" s="541"/>
      <c r="H414" s="541"/>
      <c r="I414" s="574"/>
      <c r="J414" s="644"/>
      <c r="K414" s="523"/>
    </row>
    <row r="415" spans="1:11">
      <c r="A415" s="541" t="s">
        <v>1550</v>
      </c>
      <c r="B415" s="541" t="s">
        <v>1551</v>
      </c>
      <c r="C415" s="574">
        <v>-87670000</v>
      </c>
      <c r="G415" s="541"/>
      <c r="H415" s="541"/>
      <c r="I415" s="574"/>
      <c r="J415" s="644"/>
      <c r="K415" s="523"/>
    </row>
    <row r="416" spans="1:11">
      <c r="A416" s="541" t="s">
        <v>1548</v>
      </c>
      <c r="B416" s="541" t="s">
        <v>1549</v>
      </c>
      <c r="C416" s="574">
        <v>-87670000</v>
      </c>
      <c r="G416" s="541"/>
      <c r="H416" s="541"/>
      <c r="I416" s="574"/>
      <c r="J416" s="644"/>
      <c r="K416" s="523"/>
    </row>
    <row r="417" spans="1:11">
      <c r="A417" s="541" t="s">
        <v>1563</v>
      </c>
      <c r="B417" s="541" t="s">
        <v>1564</v>
      </c>
      <c r="C417" s="542"/>
      <c r="D417" s="544"/>
      <c r="G417" s="541" t="s">
        <v>1563</v>
      </c>
      <c r="H417" s="541" t="s">
        <v>1564</v>
      </c>
      <c r="I417" s="574"/>
      <c r="J417" s="544"/>
    </row>
    <row r="418" spans="1:11">
      <c r="A418" s="541" t="s">
        <v>1565</v>
      </c>
      <c r="B418" s="541" t="s">
        <v>1566</v>
      </c>
      <c r="C418" s="542"/>
      <c r="D418" s="544"/>
      <c r="G418" s="541" t="s">
        <v>1565</v>
      </c>
      <c r="H418" s="541" t="s">
        <v>1566</v>
      </c>
      <c r="I418" s="574"/>
      <c r="J418" s="544"/>
    </row>
    <row r="419" spans="1:11">
      <c r="A419" s="607">
        <v>418510002</v>
      </c>
      <c r="B419" s="607" t="s">
        <v>2068</v>
      </c>
      <c r="C419" s="629"/>
      <c r="D419" s="544"/>
      <c r="G419" s="541" t="s">
        <v>1567</v>
      </c>
      <c r="H419" s="541" t="s">
        <v>1568</v>
      </c>
      <c r="I419" s="574">
        <v>-3613607</v>
      </c>
      <c r="J419" s="644">
        <v>-3613607</v>
      </c>
      <c r="K419" t="s">
        <v>2539</v>
      </c>
    </row>
    <row r="420" spans="1:11">
      <c r="A420" s="541">
        <v>418510003</v>
      </c>
      <c r="B420" s="541" t="s">
        <v>1568</v>
      </c>
      <c r="C420" s="574">
        <v>-3613607</v>
      </c>
      <c r="D420" s="544"/>
      <c r="G420" s="541" t="s">
        <v>1565</v>
      </c>
      <c r="H420" s="541" t="s">
        <v>1566</v>
      </c>
      <c r="I420" s="574">
        <v>-3613607</v>
      </c>
      <c r="J420" s="523">
        <v>-3613607</v>
      </c>
      <c r="K420" s="523">
        <v>28550780</v>
      </c>
    </row>
    <row r="421" spans="1:11">
      <c r="A421" s="541">
        <v>418510</v>
      </c>
      <c r="B421" s="541" t="s">
        <v>1566</v>
      </c>
      <c r="C421" s="574">
        <v>-3613607</v>
      </c>
      <c r="D421" s="544"/>
      <c r="G421" s="541" t="s">
        <v>1563</v>
      </c>
      <c r="H421" s="541" t="s">
        <v>1564</v>
      </c>
      <c r="I421" s="574">
        <v>-3613607</v>
      </c>
      <c r="J421" s="523">
        <v>-3613607</v>
      </c>
      <c r="K421" s="523">
        <v>61314549</v>
      </c>
    </row>
    <row r="422" spans="1:11">
      <c r="A422" s="541">
        <v>4185</v>
      </c>
      <c r="B422" s="541" t="s">
        <v>1564</v>
      </c>
      <c r="C422" s="574">
        <v>-3613607</v>
      </c>
      <c r="D422" s="544"/>
      <c r="G422" s="541" t="s">
        <v>1398</v>
      </c>
      <c r="H422" s="541" t="s">
        <v>1399</v>
      </c>
      <c r="I422" s="574">
        <v>-2603566028</v>
      </c>
      <c r="J422" s="523">
        <v>-2603566028</v>
      </c>
      <c r="K422" s="523">
        <v>18427787</v>
      </c>
    </row>
    <row r="423" spans="1:11">
      <c r="A423" s="541">
        <v>41</v>
      </c>
      <c r="B423" s="541" t="s">
        <v>1399</v>
      </c>
      <c r="C423" s="574">
        <v>-2603566028</v>
      </c>
      <c r="D423" s="544"/>
      <c r="G423" s="541" t="s">
        <v>1569</v>
      </c>
      <c r="H423" s="541" t="s">
        <v>1570</v>
      </c>
      <c r="J423" s="544"/>
    </row>
    <row r="424" spans="1:11">
      <c r="A424" s="541" t="s">
        <v>1569</v>
      </c>
      <c r="B424" s="541" t="s">
        <v>1570</v>
      </c>
      <c r="C424" s="542"/>
      <c r="D424" s="544"/>
      <c r="G424" s="541" t="s">
        <v>1571</v>
      </c>
      <c r="H424" s="541" t="s">
        <v>1572</v>
      </c>
      <c r="I424" s="574"/>
      <c r="J424" s="544"/>
    </row>
    <row r="425" spans="1:11">
      <c r="A425" s="541" t="s">
        <v>1571</v>
      </c>
      <c r="B425" s="541" t="s">
        <v>1572</v>
      </c>
      <c r="D425" s="544"/>
      <c r="G425" s="541" t="s">
        <v>1786</v>
      </c>
      <c r="H425" s="541" t="s">
        <v>1787</v>
      </c>
      <c r="I425" s="574"/>
      <c r="J425" s="544"/>
    </row>
    <row r="426" spans="1:11">
      <c r="A426" s="541" t="s">
        <v>1786</v>
      </c>
      <c r="B426" s="541" t="s">
        <v>1787</v>
      </c>
      <c r="D426" s="544"/>
      <c r="G426" s="541" t="s">
        <v>1788</v>
      </c>
      <c r="H426" s="541" t="s">
        <v>1023</v>
      </c>
      <c r="I426" s="574">
        <v>-91598</v>
      </c>
      <c r="J426" s="644">
        <v>-91598</v>
      </c>
    </row>
    <row r="427" spans="1:11">
      <c r="A427" s="541" t="s">
        <v>1788</v>
      </c>
      <c r="B427" s="541" t="s">
        <v>1023</v>
      </c>
      <c r="C427" s="542">
        <v>-91598</v>
      </c>
      <c r="D427" s="544"/>
      <c r="G427" s="541" t="s">
        <v>2021</v>
      </c>
      <c r="H427" s="541" t="s">
        <v>1024</v>
      </c>
      <c r="I427" s="574">
        <v>-1426982</v>
      </c>
      <c r="J427" s="644">
        <v>-1426982</v>
      </c>
    </row>
    <row r="428" spans="1:11">
      <c r="A428" s="607"/>
      <c r="B428" s="607" t="s">
        <v>1024</v>
      </c>
      <c r="C428" s="629">
        <v>-1426982</v>
      </c>
      <c r="D428" s="544"/>
      <c r="G428" s="541" t="s">
        <v>1786</v>
      </c>
      <c r="H428" s="541" t="s">
        <v>1787</v>
      </c>
      <c r="I428" s="502">
        <v>-1518580</v>
      </c>
      <c r="J428" s="644">
        <v>-1518580</v>
      </c>
    </row>
    <row r="429" spans="1:11">
      <c r="A429" s="541" t="s">
        <v>1786</v>
      </c>
      <c r="B429" s="541" t="s">
        <v>1787</v>
      </c>
      <c r="C429" s="542">
        <v>-1518580</v>
      </c>
      <c r="D429" s="544"/>
      <c r="G429" s="541" t="s">
        <v>1573</v>
      </c>
      <c r="H429" s="541" t="s">
        <v>1574</v>
      </c>
      <c r="J429" s="544"/>
    </row>
    <row r="430" spans="1:11">
      <c r="A430" s="541" t="s">
        <v>1573</v>
      </c>
      <c r="B430" s="541" t="s">
        <v>1574</v>
      </c>
      <c r="D430" s="544"/>
      <c r="G430" s="541" t="s">
        <v>1789</v>
      </c>
      <c r="H430" s="541" t="s">
        <v>1790</v>
      </c>
      <c r="I430" s="574">
        <v>-129331726</v>
      </c>
      <c r="J430" s="523">
        <v>-129331726</v>
      </c>
    </row>
    <row r="431" spans="1:11">
      <c r="A431" s="541" t="s">
        <v>1789</v>
      </c>
      <c r="B431" s="541" t="s">
        <v>1790</v>
      </c>
      <c r="C431" s="574">
        <v>-129331726</v>
      </c>
      <c r="D431" s="544"/>
      <c r="G431" s="541" t="s">
        <v>2540</v>
      </c>
      <c r="H431" s="541" t="s">
        <v>1575</v>
      </c>
      <c r="I431" s="574">
        <v>-28550780</v>
      </c>
      <c r="J431" s="523">
        <v>-28550780</v>
      </c>
    </row>
    <row r="432" spans="1:11">
      <c r="A432" s="541" t="s">
        <v>2540</v>
      </c>
      <c r="B432" s="541" t="s">
        <v>1575</v>
      </c>
      <c r="C432" s="574">
        <v>-28550780</v>
      </c>
      <c r="D432" s="544"/>
      <c r="G432" s="541" t="s">
        <v>1577</v>
      </c>
      <c r="H432" s="541" t="s">
        <v>1021</v>
      </c>
      <c r="I432" s="574">
        <v>-61314549</v>
      </c>
      <c r="J432" s="523">
        <v>-61314549</v>
      </c>
    </row>
    <row r="433" spans="1:10">
      <c r="A433" s="541" t="s">
        <v>1577</v>
      </c>
      <c r="B433" s="541" t="s">
        <v>1021</v>
      </c>
      <c r="C433" s="574">
        <v>-61314549</v>
      </c>
      <c r="D433" s="544"/>
      <c r="G433" s="541" t="s">
        <v>1791</v>
      </c>
      <c r="H433" s="541" t="s">
        <v>1022</v>
      </c>
      <c r="I433" s="574">
        <v>-18427787</v>
      </c>
      <c r="J433" s="523">
        <v>-18427787</v>
      </c>
    </row>
    <row r="434" spans="1:10">
      <c r="A434" s="541" t="s">
        <v>1791</v>
      </c>
      <c r="B434" s="541" t="s">
        <v>1022</v>
      </c>
      <c r="C434" s="574">
        <v>-18427787</v>
      </c>
      <c r="D434" s="544"/>
      <c r="G434" s="541" t="s">
        <v>1573</v>
      </c>
      <c r="H434" s="541" t="s">
        <v>1574</v>
      </c>
      <c r="I434" s="574">
        <v>-237624842</v>
      </c>
      <c r="J434" s="644">
        <v>-237624842</v>
      </c>
    </row>
    <row r="435" spans="1:10">
      <c r="A435" s="541" t="s">
        <v>1573</v>
      </c>
      <c r="B435" s="541" t="s">
        <v>1574</v>
      </c>
      <c r="C435" s="574">
        <v>-237624842</v>
      </c>
      <c r="D435" s="544"/>
      <c r="G435" s="541" t="s">
        <v>1571</v>
      </c>
      <c r="H435" s="541" t="s">
        <v>1572</v>
      </c>
      <c r="I435" s="574">
        <v>-239143422</v>
      </c>
      <c r="J435" s="644">
        <v>-239143422</v>
      </c>
    </row>
    <row r="436" spans="1:10">
      <c r="A436" s="541" t="s">
        <v>1571</v>
      </c>
      <c r="B436" s="541" t="s">
        <v>1572</v>
      </c>
      <c r="C436" s="574">
        <v>-239143422</v>
      </c>
      <c r="D436" s="544"/>
      <c r="G436" s="541" t="s">
        <v>1569</v>
      </c>
      <c r="H436" s="541" t="s">
        <v>1570</v>
      </c>
      <c r="I436" s="574">
        <v>-239143422</v>
      </c>
      <c r="J436" s="644">
        <v>-239143422</v>
      </c>
    </row>
    <row r="437" spans="1:10">
      <c r="A437" s="541" t="s">
        <v>1569</v>
      </c>
      <c r="B437" s="541" t="s">
        <v>1570</v>
      </c>
      <c r="C437" s="574">
        <v>-239143422</v>
      </c>
      <c r="D437" s="544"/>
      <c r="G437" s="541" t="s">
        <v>1396</v>
      </c>
      <c r="H437" s="541" t="s">
        <v>1397</v>
      </c>
      <c r="I437" s="574">
        <v>-2842709450</v>
      </c>
      <c r="J437" s="644">
        <v>-2842709450</v>
      </c>
    </row>
    <row r="438" spans="1:10">
      <c r="A438" s="541" t="s">
        <v>1396</v>
      </c>
      <c r="B438" s="541" t="s">
        <v>1397</v>
      </c>
      <c r="C438" s="574">
        <v>-2842709450</v>
      </c>
      <c r="D438" s="544"/>
      <c r="G438" s="541" t="s">
        <v>1578</v>
      </c>
      <c r="H438" s="541" t="s">
        <v>1579</v>
      </c>
      <c r="I438" s="574"/>
      <c r="J438" s="544"/>
    </row>
    <row r="439" spans="1:10">
      <c r="A439" s="541" t="s">
        <v>1578</v>
      </c>
      <c r="B439" s="541" t="s">
        <v>1579</v>
      </c>
      <c r="C439" s="542"/>
      <c r="D439" s="544"/>
      <c r="G439" s="541" t="s">
        <v>1580</v>
      </c>
      <c r="H439" s="541" t="s">
        <v>1581</v>
      </c>
      <c r="I439" s="574"/>
      <c r="J439" s="544"/>
    </row>
    <row r="440" spans="1:10">
      <c r="A440" s="541" t="s">
        <v>1580</v>
      </c>
      <c r="B440" s="541" t="s">
        <v>1581</v>
      </c>
      <c r="C440" s="542"/>
      <c r="D440" s="544"/>
      <c r="G440" s="541" t="s">
        <v>1582</v>
      </c>
      <c r="H440" s="541" t="s">
        <v>1583</v>
      </c>
      <c r="I440" s="574"/>
      <c r="J440" s="544"/>
    </row>
    <row r="441" spans="1:10">
      <c r="A441" s="541" t="s">
        <v>1582</v>
      </c>
      <c r="B441" s="541" t="s">
        <v>1583</v>
      </c>
      <c r="C441" s="542"/>
      <c r="D441" s="544"/>
      <c r="G441" s="541" t="s">
        <v>1584</v>
      </c>
      <c r="H441" s="541" t="s">
        <v>1585</v>
      </c>
      <c r="J441" s="544"/>
    </row>
    <row r="442" spans="1:10">
      <c r="A442" s="541" t="s">
        <v>1584</v>
      </c>
      <c r="B442" s="541" t="s">
        <v>1585</v>
      </c>
      <c r="C442" s="542"/>
      <c r="D442" s="544"/>
      <c r="G442" s="541" t="s">
        <v>1593</v>
      </c>
      <c r="H442" s="541" t="s">
        <v>1594</v>
      </c>
      <c r="I442" s="502">
        <v>59520873</v>
      </c>
      <c r="J442" s="644">
        <v>59520873</v>
      </c>
    </row>
    <row r="443" spans="1:10">
      <c r="A443" s="541" t="s">
        <v>1586</v>
      </c>
      <c r="B443" s="541" t="s">
        <v>1587</v>
      </c>
      <c r="C443" s="574">
        <v>1451749673</v>
      </c>
      <c r="D443" s="544"/>
      <c r="G443" s="541" t="s">
        <v>1595</v>
      </c>
      <c r="H443" s="541" t="s">
        <v>1596</v>
      </c>
      <c r="I443" s="574">
        <v>654545</v>
      </c>
      <c r="J443" s="644">
        <v>654545</v>
      </c>
    </row>
    <row r="444" spans="1:10">
      <c r="A444" s="541" t="s">
        <v>1792</v>
      </c>
      <c r="B444" s="541" t="s">
        <v>1020</v>
      </c>
      <c r="C444" s="574">
        <v>1269236</v>
      </c>
      <c r="G444" s="541" t="s">
        <v>1793</v>
      </c>
      <c r="H444" s="541" t="s">
        <v>1794</v>
      </c>
      <c r="I444" s="574">
        <v>129488696</v>
      </c>
      <c r="J444" s="644">
        <v>129488696</v>
      </c>
    </row>
    <row r="445" spans="1:10">
      <c r="A445" s="607"/>
      <c r="B445" s="607" t="s">
        <v>1861</v>
      </c>
      <c r="C445" s="626">
        <v>1536364</v>
      </c>
      <c r="D445" s="544"/>
      <c r="G445" s="541" t="s">
        <v>1604</v>
      </c>
      <c r="H445" s="541" t="s">
        <v>1605</v>
      </c>
      <c r="I445" s="574">
        <v>536575</v>
      </c>
      <c r="J445" s="644">
        <v>536575</v>
      </c>
    </row>
    <row r="446" spans="1:10">
      <c r="A446" s="541" t="s">
        <v>1588</v>
      </c>
      <c r="B446" s="541" t="s">
        <v>1589</v>
      </c>
      <c r="C446" s="574">
        <v>15349883</v>
      </c>
      <c r="D446" s="544"/>
      <c r="G446" s="541" t="s">
        <v>1795</v>
      </c>
      <c r="H446" s="541" t="s">
        <v>1796</v>
      </c>
      <c r="I446" s="574">
        <v>22175984</v>
      </c>
      <c r="J446" s="644">
        <v>22175984</v>
      </c>
    </row>
    <row r="447" spans="1:10">
      <c r="A447" s="541" t="s">
        <v>1590</v>
      </c>
      <c r="B447" s="541" t="s">
        <v>1014</v>
      </c>
      <c r="C447" s="574">
        <v>485303173</v>
      </c>
      <c r="D447" s="544"/>
      <c r="G447" s="541" t="s">
        <v>2541</v>
      </c>
      <c r="H447" s="541" t="s">
        <v>1849</v>
      </c>
      <c r="I447" s="502">
        <v>1420608</v>
      </c>
      <c r="J447" s="644">
        <v>1420608</v>
      </c>
    </row>
    <row r="448" spans="1:10">
      <c r="A448" s="541" t="s">
        <v>1591</v>
      </c>
      <c r="B448" s="541" t="s">
        <v>1592</v>
      </c>
      <c r="C448" s="574">
        <v>245102613</v>
      </c>
      <c r="D448" s="544"/>
      <c r="G448" s="541" t="s">
        <v>1608</v>
      </c>
      <c r="H448" s="541" t="s">
        <v>1609</v>
      </c>
      <c r="I448" s="502">
        <v>4620263</v>
      </c>
      <c r="J448" s="644">
        <v>4620263</v>
      </c>
    </row>
    <row r="449" spans="1:10">
      <c r="A449" s="541" t="s">
        <v>1864</v>
      </c>
      <c r="B449" s="541" t="s">
        <v>1865</v>
      </c>
      <c r="C449" s="574">
        <v>359392677</v>
      </c>
      <c r="G449" s="541" t="s">
        <v>1610</v>
      </c>
      <c r="H449" s="541" t="s">
        <v>1611</v>
      </c>
      <c r="I449" s="502">
        <v>3338231</v>
      </c>
      <c r="J449" s="644">
        <v>3338231</v>
      </c>
    </row>
    <row r="450" spans="1:10">
      <c r="A450" s="541" t="s">
        <v>1593</v>
      </c>
      <c r="B450" s="541" t="s">
        <v>1594</v>
      </c>
      <c r="C450" s="574">
        <v>243901260</v>
      </c>
      <c r="D450" s="544"/>
      <c r="G450" s="541" t="s">
        <v>1612</v>
      </c>
      <c r="H450" s="541" t="s">
        <v>1613</v>
      </c>
      <c r="I450" s="574">
        <v>16493393</v>
      </c>
      <c r="J450" s="644">
        <v>16493393</v>
      </c>
    </row>
    <row r="451" spans="1:10">
      <c r="A451" s="541" t="s">
        <v>1595</v>
      </c>
      <c r="B451" s="541" t="s">
        <v>1596</v>
      </c>
      <c r="C451" s="574">
        <v>15675519</v>
      </c>
      <c r="D451" s="544"/>
      <c r="G451" s="541" t="s">
        <v>1614</v>
      </c>
      <c r="H451" s="541" t="s">
        <v>1615</v>
      </c>
      <c r="I451" s="574">
        <v>363636</v>
      </c>
      <c r="J451" s="644">
        <v>363636</v>
      </c>
    </row>
    <row r="452" spans="1:10">
      <c r="A452" s="541" t="s">
        <v>1597</v>
      </c>
      <c r="B452" s="541" t="s">
        <v>1598</v>
      </c>
      <c r="C452" s="574">
        <v>215748595</v>
      </c>
      <c r="D452" s="544"/>
      <c r="G452" s="541" t="s">
        <v>1797</v>
      </c>
      <c r="H452" s="541" t="s">
        <v>1798</v>
      </c>
      <c r="I452" s="502">
        <v>1103038</v>
      </c>
      <c r="J452" s="644">
        <v>1103038</v>
      </c>
    </row>
    <row r="453" spans="1:10">
      <c r="A453" s="541" t="s">
        <v>1599</v>
      </c>
      <c r="B453" s="541" t="s">
        <v>1600</v>
      </c>
      <c r="C453" s="574">
        <v>100802270</v>
      </c>
      <c r="D453" s="544"/>
      <c r="G453" s="541" t="s">
        <v>1618</v>
      </c>
      <c r="H453" s="541" t="s">
        <v>1619</v>
      </c>
      <c r="I453" s="574">
        <v>2898775</v>
      </c>
      <c r="J453" s="644">
        <v>2898775</v>
      </c>
    </row>
    <row r="454" spans="1:10">
      <c r="A454" s="541" t="s">
        <v>1793</v>
      </c>
      <c r="B454" s="541" t="s">
        <v>1794</v>
      </c>
      <c r="C454" s="574">
        <v>695705672</v>
      </c>
      <c r="D454" s="544"/>
      <c r="G454" s="541" t="s">
        <v>1622</v>
      </c>
      <c r="H454" s="541" t="s">
        <v>1623</v>
      </c>
      <c r="I454" s="574">
        <v>11239154</v>
      </c>
      <c r="J454" s="644">
        <v>11239154</v>
      </c>
    </row>
    <row r="455" spans="1:10">
      <c r="A455" s="607"/>
      <c r="B455" s="607" t="s">
        <v>2069</v>
      </c>
      <c r="C455" s="626">
        <v>1226364</v>
      </c>
      <c r="D455" s="544"/>
      <c r="G455" s="541" t="s">
        <v>1584</v>
      </c>
      <c r="H455" s="541" t="s">
        <v>1585</v>
      </c>
      <c r="I455" s="574">
        <v>761936735</v>
      </c>
      <c r="J455" s="644">
        <v>761936735</v>
      </c>
    </row>
    <row r="456" spans="1:10">
      <c r="A456" s="607"/>
      <c r="B456" s="607" t="s">
        <v>905</v>
      </c>
      <c r="C456" s="626">
        <v>1250443</v>
      </c>
      <c r="D456" s="544"/>
      <c r="G456" s="541" t="s">
        <v>1625</v>
      </c>
      <c r="H456" s="541" t="s">
        <v>1626</v>
      </c>
      <c r="I456" s="574"/>
      <c r="J456" s="544"/>
    </row>
    <row r="457" spans="1:10">
      <c r="A457" s="541" t="s">
        <v>1602</v>
      </c>
      <c r="B457" s="541" t="s">
        <v>1603</v>
      </c>
      <c r="C457" s="574">
        <v>59733643</v>
      </c>
      <c r="D457" s="544"/>
      <c r="G457" s="541" t="s">
        <v>1631</v>
      </c>
      <c r="H457" s="541" t="s">
        <v>1589</v>
      </c>
      <c r="I457" s="574">
        <v>8241564</v>
      </c>
      <c r="J457" s="644">
        <v>8241564</v>
      </c>
    </row>
    <row r="458" spans="1:10">
      <c r="A458" s="541" t="s">
        <v>1604</v>
      </c>
      <c r="B458" s="541" t="s">
        <v>1605</v>
      </c>
      <c r="C458" s="574">
        <v>5478777</v>
      </c>
      <c r="D458" s="544"/>
      <c r="G458" s="541" t="s">
        <v>1634</v>
      </c>
      <c r="H458" s="541" t="s">
        <v>1635</v>
      </c>
      <c r="I458" s="574">
        <v>726696</v>
      </c>
      <c r="J458" s="644">
        <v>726696</v>
      </c>
    </row>
    <row r="459" spans="1:10">
      <c r="A459" s="541" t="s">
        <v>1795</v>
      </c>
      <c r="B459" s="541" t="s">
        <v>1796</v>
      </c>
      <c r="C459" s="574">
        <v>150121898</v>
      </c>
      <c r="D459" s="544"/>
      <c r="G459" s="541" t="s">
        <v>1636</v>
      </c>
      <c r="H459" s="541" t="s">
        <v>1637</v>
      </c>
      <c r="I459" s="574">
        <v>318182</v>
      </c>
      <c r="J459" s="644">
        <v>318182</v>
      </c>
    </row>
    <row r="460" spans="1:10">
      <c r="A460" s="541" t="s">
        <v>1866</v>
      </c>
      <c r="B460" s="541" t="s">
        <v>1913</v>
      </c>
      <c r="C460" s="574">
        <v>20002350</v>
      </c>
      <c r="D460" s="544"/>
      <c r="G460" s="541" t="s">
        <v>2542</v>
      </c>
      <c r="H460" s="541" t="s">
        <v>1850</v>
      </c>
      <c r="I460" s="502">
        <v>68728</v>
      </c>
      <c r="J460" s="644">
        <v>68728</v>
      </c>
    </row>
    <row r="461" spans="1:10">
      <c r="A461" s="541" t="s">
        <v>1606</v>
      </c>
      <c r="B461" s="541" t="s">
        <v>1607</v>
      </c>
      <c r="C461" s="574">
        <v>958591</v>
      </c>
      <c r="D461" s="544"/>
      <c r="G461" s="541" t="s">
        <v>1638</v>
      </c>
      <c r="H461" s="541" t="s">
        <v>1639</v>
      </c>
      <c r="I461" s="502">
        <v>23189166</v>
      </c>
      <c r="J461" s="523">
        <v>23189166</v>
      </c>
    </row>
    <row r="462" spans="1:10">
      <c r="A462" s="541" t="s">
        <v>1608</v>
      </c>
      <c r="B462" s="541" t="s">
        <v>1609</v>
      </c>
      <c r="C462" s="574">
        <v>30079717</v>
      </c>
      <c r="D462" s="544"/>
      <c r="G462" s="541" t="s">
        <v>1640</v>
      </c>
      <c r="H462" s="541" t="s">
        <v>1641</v>
      </c>
      <c r="I462" s="502">
        <v>1120000</v>
      </c>
      <c r="J462" s="644">
        <v>1120000</v>
      </c>
    </row>
    <row r="463" spans="1:10">
      <c r="A463" s="607"/>
      <c r="B463" s="607" t="s">
        <v>2070</v>
      </c>
      <c r="C463" s="626">
        <v>811466</v>
      </c>
      <c r="D463" s="544"/>
      <c r="G463" s="541" t="s">
        <v>1642</v>
      </c>
      <c r="H463" s="541" t="s">
        <v>1601</v>
      </c>
      <c r="I463" s="502">
        <v>2753278</v>
      </c>
      <c r="J463" s="644">
        <v>2753278</v>
      </c>
    </row>
    <row r="464" spans="1:10">
      <c r="A464" s="541" t="s">
        <v>2051</v>
      </c>
      <c r="B464" s="541" t="s">
        <v>1660</v>
      </c>
      <c r="C464" s="574">
        <v>118182</v>
      </c>
      <c r="D464" s="544"/>
      <c r="G464" s="541" t="s">
        <v>1643</v>
      </c>
      <c r="H464" s="541" t="s">
        <v>1644</v>
      </c>
      <c r="I464" s="574">
        <v>33627153</v>
      </c>
      <c r="J464" s="644">
        <v>33627153</v>
      </c>
    </row>
    <row r="465" spans="1:10">
      <c r="A465" s="541" t="s">
        <v>1610</v>
      </c>
      <c r="B465" s="541" t="s">
        <v>1611</v>
      </c>
      <c r="C465" s="574">
        <v>16748244</v>
      </c>
      <c r="D465" s="544"/>
      <c r="G465" s="541" t="s">
        <v>1645</v>
      </c>
      <c r="H465" s="541" t="s">
        <v>1646</v>
      </c>
      <c r="I465" s="574">
        <v>22933524</v>
      </c>
      <c r="J465" s="644">
        <v>22933524</v>
      </c>
    </row>
    <row r="466" spans="1:10">
      <c r="A466" s="541" t="s">
        <v>1612</v>
      </c>
      <c r="B466" s="541" t="s">
        <v>1613</v>
      </c>
      <c r="C466" s="574">
        <v>41582285</v>
      </c>
      <c r="D466" s="544"/>
      <c r="G466" s="541" t="s">
        <v>1647</v>
      </c>
      <c r="H466" s="541" t="s">
        <v>1648</v>
      </c>
      <c r="I466" s="574">
        <v>4580000</v>
      </c>
      <c r="J466" s="523">
        <v>4580000</v>
      </c>
    </row>
    <row r="467" spans="1:10">
      <c r="A467" s="541" t="s">
        <v>1614</v>
      </c>
      <c r="B467" s="541" t="s">
        <v>1615</v>
      </c>
      <c r="C467" s="574">
        <v>1818087</v>
      </c>
      <c r="D467" s="544"/>
      <c r="G467" s="541" t="s">
        <v>1654</v>
      </c>
      <c r="H467" s="541" t="s">
        <v>901</v>
      </c>
      <c r="I467" s="574">
        <v>89577636</v>
      </c>
      <c r="J467" s="644">
        <v>89577636</v>
      </c>
    </row>
    <row r="468" spans="1:10">
      <c r="A468" s="541" t="s">
        <v>1797</v>
      </c>
      <c r="B468" s="541" t="s">
        <v>1798</v>
      </c>
      <c r="C468" s="574">
        <v>2406653</v>
      </c>
      <c r="D468" s="544"/>
      <c r="G468" s="541" t="s">
        <v>1799</v>
      </c>
      <c r="H468" s="541" t="s">
        <v>1800</v>
      </c>
      <c r="I468" s="574">
        <v>9790732</v>
      </c>
      <c r="J468" s="644">
        <v>9790732</v>
      </c>
    </row>
    <row r="469" spans="1:10">
      <c r="A469" s="541" t="s">
        <v>1616</v>
      </c>
      <c r="B469" s="541" t="s">
        <v>1617</v>
      </c>
      <c r="C469" s="574">
        <v>4064045</v>
      </c>
      <c r="D469" s="544"/>
      <c r="G469" s="541" t="s">
        <v>1625</v>
      </c>
      <c r="H469" s="541" t="s">
        <v>1626</v>
      </c>
      <c r="I469" s="574">
        <v>1464471333</v>
      </c>
      <c r="J469" s="644">
        <v>1464471333</v>
      </c>
    </row>
    <row r="470" spans="1:10">
      <c r="A470" s="541" t="s">
        <v>1618</v>
      </c>
      <c r="B470" s="541" t="s">
        <v>1619</v>
      </c>
      <c r="C470" s="574">
        <v>8741141</v>
      </c>
      <c r="G470" s="541" t="s">
        <v>1655</v>
      </c>
      <c r="H470" s="541" t="s">
        <v>1656</v>
      </c>
      <c r="I470" s="574"/>
      <c r="J470" s="544"/>
    </row>
    <row r="471" spans="1:10">
      <c r="A471" s="541" t="s">
        <v>1620</v>
      </c>
      <c r="B471" s="541" t="s">
        <v>1621</v>
      </c>
      <c r="C471" s="574">
        <v>69481836</v>
      </c>
      <c r="D471" s="544"/>
      <c r="G471" s="541" t="s">
        <v>1657</v>
      </c>
      <c r="H471" s="541" t="s">
        <v>1658</v>
      </c>
      <c r="I471" s="574">
        <v>45000</v>
      </c>
      <c r="J471" s="644">
        <v>45000</v>
      </c>
    </row>
    <row r="472" spans="1:10">
      <c r="A472" s="541" t="s">
        <v>1622</v>
      </c>
      <c r="B472" s="541" t="s">
        <v>1623</v>
      </c>
      <c r="C472" s="574">
        <v>35914840</v>
      </c>
      <c r="D472" s="544"/>
      <c r="G472" s="541" t="s">
        <v>1659</v>
      </c>
      <c r="H472" s="541" t="s">
        <v>1660</v>
      </c>
      <c r="I472" s="574">
        <v>154092</v>
      </c>
      <c r="J472" s="644">
        <v>154092</v>
      </c>
    </row>
    <row r="473" spans="1:10">
      <c r="A473" s="541" t="s">
        <v>2052</v>
      </c>
      <c r="B473" s="541" t="s">
        <v>1914</v>
      </c>
      <c r="C473" s="574">
        <v>21000</v>
      </c>
      <c r="D473" s="544"/>
      <c r="G473" s="541" t="s">
        <v>1803</v>
      </c>
      <c r="H473" s="541" t="s">
        <v>1804</v>
      </c>
      <c r="I473" s="574">
        <v>40000</v>
      </c>
      <c r="J473" s="644">
        <v>40000</v>
      </c>
    </row>
    <row r="474" spans="1:10">
      <c r="A474" s="541" t="s">
        <v>1584</v>
      </c>
      <c r="B474" s="541" t="s">
        <v>1585</v>
      </c>
      <c r="C474" s="574">
        <v>4282096497</v>
      </c>
      <c r="D474" s="544"/>
      <c r="G474" s="541" t="s">
        <v>1655</v>
      </c>
      <c r="H474" s="541" t="s">
        <v>1656</v>
      </c>
      <c r="I474" s="574">
        <v>21320001</v>
      </c>
      <c r="J474" s="644">
        <v>21320001</v>
      </c>
    </row>
    <row r="475" spans="1:10">
      <c r="A475" s="607">
        <v>520110</v>
      </c>
      <c r="B475" s="607" t="s">
        <v>1872</v>
      </c>
      <c r="C475" s="626"/>
      <c r="D475" s="544"/>
      <c r="G475" s="541" t="s">
        <v>1582</v>
      </c>
      <c r="H475" s="541" t="s">
        <v>1583</v>
      </c>
      <c r="I475" s="574">
        <v>2247728069</v>
      </c>
      <c r="J475" s="644">
        <v>2247728069</v>
      </c>
    </row>
    <row r="476" spans="1:10">
      <c r="A476" s="607">
        <v>520110015</v>
      </c>
      <c r="B476" s="607" t="s">
        <v>1874</v>
      </c>
      <c r="C476" s="626">
        <v>37446745</v>
      </c>
      <c r="D476" s="544"/>
      <c r="G476" s="541" t="s">
        <v>1664</v>
      </c>
      <c r="H476" s="541" t="s">
        <v>1665</v>
      </c>
      <c r="I476" s="574"/>
      <c r="J476" s="544"/>
    </row>
    <row r="477" spans="1:10">
      <c r="A477" s="607">
        <v>520110</v>
      </c>
      <c r="B477" s="607" t="s">
        <v>1872</v>
      </c>
      <c r="C477" s="626">
        <v>37446745</v>
      </c>
      <c r="G477" s="541" t="s">
        <v>1666</v>
      </c>
      <c r="H477" s="541" t="s">
        <v>1667</v>
      </c>
      <c r="I477" s="574"/>
      <c r="J477" s="544"/>
    </row>
    <row r="478" spans="1:10">
      <c r="A478" s="541" t="s">
        <v>1625</v>
      </c>
      <c r="B478" s="541" t="s">
        <v>1626</v>
      </c>
      <c r="C478" s="542"/>
      <c r="G478" s="541" t="s">
        <v>1666</v>
      </c>
      <c r="H478" s="541" t="s">
        <v>1667</v>
      </c>
      <c r="I478" s="574">
        <v>116803908</v>
      </c>
      <c r="J478" s="644">
        <v>116803908</v>
      </c>
    </row>
    <row r="479" spans="1:10">
      <c r="A479" s="541" t="s">
        <v>1627</v>
      </c>
      <c r="B479" s="541" t="s">
        <v>1628</v>
      </c>
      <c r="C479" s="574">
        <v>1590909094</v>
      </c>
      <c r="D479" s="544"/>
      <c r="G479" s="541" t="s">
        <v>1670</v>
      </c>
      <c r="H479" s="541" t="s">
        <v>1671</v>
      </c>
      <c r="I479" s="574"/>
      <c r="J479" s="544"/>
    </row>
    <row r="480" spans="1:10">
      <c r="A480" s="541" t="s">
        <v>1629</v>
      </c>
      <c r="B480" s="541" t="s">
        <v>1630</v>
      </c>
      <c r="C480" s="574">
        <v>792506772</v>
      </c>
      <c r="D480" s="544"/>
      <c r="G480" s="541" t="s">
        <v>1672</v>
      </c>
      <c r="H480" s="541" t="s">
        <v>1017</v>
      </c>
      <c r="I480" s="574">
        <v>6098618</v>
      </c>
      <c r="J480" s="644">
        <v>6098618</v>
      </c>
    </row>
    <row r="481" spans="1:10">
      <c r="A481" s="541" t="s">
        <v>1632</v>
      </c>
      <c r="B481" s="541" t="s">
        <v>1633</v>
      </c>
      <c r="C481" s="574">
        <v>721372337</v>
      </c>
      <c r="D481" s="544"/>
      <c r="G481" s="541" t="s">
        <v>1851</v>
      </c>
      <c r="H481" s="541" t="s">
        <v>1017</v>
      </c>
      <c r="I481" s="574">
        <v>18566650</v>
      </c>
      <c r="J481" s="644">
        <v>18566650</v>
      </c>
    </row>
    <row r="482" spans="1:10">
      <c r="A482" s="541" t="s">
        <v>1634</v>
      </c>
      <c r="B482" s="541" t="s">
        <v>1635</v>
      </c>
      <c r="C482" s="574">
        <v>1529734</v>
      </c>
      <c r="G482" s="541" t="s">
        <v>1670</v>
      </c>
      <c r="H482" s="541" t="s">
        <v>1671</v>
      </c>
      <c r="I482" s="574">
        <v>24665268</v>
      </c>
      <c r="J482" s="644">
        <v>24665268</v>
      </c>
    </row>
    <row r="483" spans="1:10">
      <c r="A483" s="541" t="s">
        <v>1636</v>
      </c>
      <c r="B483" s="541" t="s">
        <v>1637</v>
      </c>
      <c r="C483" s="574">
        <v>2766529</v>
      </c>
      <c r="D483" s="544"/>
      <c r="G483" s="541" t="s">
        <v>1673</v>
      </c>
      <c r="H483" s="541" t="s">
        <v>1674</v>
      </c>
      <c r="I483" s="574"/>
      <c r="J483" s="544"/>
    </row>
    <row r="484" spans="1:10">
      <c r="A484" s="541" t="s">
        <v>1638</v>
      </c>
      <c r="B484" s="541" t="s">
        <v>1639</v>
      </c>
      <c r="C484" s="574">
        <v>81816860</v>
      </c>
      <c r="D484" s="544"/>
      <c r="G484" s="541" t="s">
        <v>1673</v>
      </c>
      <c r="H484" s="541" t="s">
        <v>1674</v>
      </c>
      <c r="I484" s="574">
        <v>13833334</v>
      </c>
      <c r="J484" s="644">
        <v>13833334</v>
      </c>
    </row>
    <row r="485" spans="1:10">
      <c r="A485" s="541" t="s">
        <v>1640</v>
      </c>
      <c r="B485" s="541" t="s">
        <v>1641</v>
      </c>
      <c r="C485" s="574">
        <v>21422338</v>
      </c>
      <c r="D485" s="544"/>
      <c r="G485" s="541" t="s">
        <v>1677</v>
      </c>
      <c r="H485" s="541" t="s">
        <v>1678</v>
      </c>
      <c r="I485" s="574"/>
      <c r="J485" s="544"/>
    </row>
    <row r="486" spans="1:10">
      <c r="A486" s="541" t="s">
        <v>1642</v>
      </c>
      <c r="B486" s="541" t="s">
        <v>1601</v>
      </c>
      <c r="C486" s="574">
        <v>12664187</v>
      </c>
      <c r="D486" s="544"/>
      <c r="G486" s="541" t="s">
        <v>1677</v>
      </c>
      <c r="H486" s="541" t="s">
        <v>1678</v>
      </c>
      <c r="I486" s="574">
        <v>10171845</v>
      </c>
      <c r="J486" s="644">
        <v>10171845</v>
      </c>
    </row>
    <row r="487" spans="1:10">
      <c r="A487" s="541" t="s">
        <v>1643</v>
      </c>
      <c r="B487" s="541" t="s">
        <v>1644</v>
      </c>
      <c r="C487" s="574">
        <v>100618181</v>
      </c>
      <c r="D487" s="544"/>
      <c r="G487" s="541" t="s">
        <v>1664</v>
      </c>
      <c r="H487" s="541" t="s">
        <v>1665</v>
      </c>
      <c r="I487" s="574">
        <v>165474355</v>
      </c>
      <c r="J487" s="523">
        <v>165474355</v>
      </c>
    </row>
    <row r="488" spans="1:10">
      <c r="A488" s="541" t="s">
        <v>1645</v>
      </c>
      <c r="B488" s="541" t="s">
        <v>1646</v>
      </c>
      <c r="C488" s="574">
        <v>93312761</v>
      </c>
      <c r="G488" s="541" t="s">
        <v>1580</v>
      </c>
      <c r="H488" s="541" t="s">
        <v>1581</v>
      </c>
      <c r="I488" s="574">
        <v>2413202424</v>
      </c>
      <c r="J488" s="644">
        <v>2413202424</v>
      </c>
    </row>
    <row r="489" spans="1:10">
      <c r="A489" s="541" t="s">
        <v>1647</v>
      </c>
      <c r="B489" s="541" t="s">
        <v>1648</v>
      </c>
      <c r="C489" s="574">
        <v>14124545</v>
      </c>
      <c r="D489" s="544"/>
      <c r="G489" s="541" t="s">
        <v>1681</v>
      </c>
      <c r="H489" s="541" t="s">
        <v>1682</v>
      </c>
      <c r="I489" s="574"/>
      <c r="J489" s="544"/>
    </row>
    <row r="490" spans="1:10">
      <c r="A490" s="541" t="s">
        <v>1649</v>
      </c>
      <c r="B490" s="541" t="s">
        <v>1650</v>
      </c>
      <c r="C490" s="574">
        <v>760987680</v>
      </c>
      <c r="D490" s="544"/>
      <c r="G490" s="541" t="s">
        <v>1683</v>
      </c>
      <c r="H490" s="541" t="s">
        <v>1684</v>
      </c>
      <c r="I490" s="574"/>
      <c r="J490" s="544"/>
    </row>
    <row r="491" spans="1:10">
      <c r="A491" s="541" t="s">
        <v>1651</v>
      </c>
      <c r="B491" s="541" t="s">
        <v>905</v>
      </c>
      <c r="C491" s="574">
        <v>97287204</v>
      </c>
      <c r="G491" s="541" t="s">
        <v>1685</v>
      </c>
      <c r="H491" s="541" t="s">
        <v>1686</v>
      </c>
      <c r="I491" s="574"/>
      <c r="J491" s="544"/>
    </row>
    <row r="492" spans="1:10">
      <c r="A492" s="541" t="s">
        <v>1652</v>
      </c>
      <c r="B492" s="541" t="s">
        <v>1653</v>
      </c>
      <c r="C492" s="574">
        <v>2036201</v>
      </c>
      <c r="D492" s="544"/>
      <c r="G492" s="541" t="s">
        <v>1683</v>
      </c>
      <c r="H492" s="541" t="s">
        <v>1684</v>
      </c>
      <c r="I492" s="502">
        <v>176484454</v>
      </c>
      <c r="J492" s="644">
        <v>176484454</v>
      </c>
    </row>
    <row r="493" spans="1:10">
      <c r="A493" s="607"/>
      <c r="B493" s="607" t="s">
        <v>1899</v>
      </c>
      <c r="C493" s="626">
        <v>781818</v>
      </c>
      <c r="D493" s="544"/>
      <c r="G493" s="541" t="s">
        <v>1816</v>
      </c>
      <c r="H493" s="541" t="s">
        <v>1817</v>
      </c>
      <c r="I493" s="574"/>
      <c r="J493" s="544"/>
    </row>
    <row r="494" spans="1:10">
      <c r="A494" s="541" t="s">
        <v>1654</v>
      </c>
      <c r="B494" s="541" t="s">
        <v>901</v>
      </c>
      <c r="C494" s="574">
        <v>552651296</v>
      </c>
      <c r="D494" s="544"/>
      <c r="G494" s="541" t="s">
        <v>1816</v>
      </c>
      <c r="H494" s="541" t="s">
        <v>1817</v>
      </c>
      <c r="I494" s="574">
        <v>72328632</v>
      </c>
      <c r="J494" s="523">
        <v>72328632</v>
      </c>
    </row>
    <row r="495" spans="1:10">
      <c r="A495" s="541" t="s">
        <v>1799</v>
      </c>
      <c r="B495" s="541" t="s">
        <v>1800</v>
      </c>
      <c r="C495" s="574">
        <v>101319361</v>
      </c>
      <c r="D495" s="544"/>
      <c r="G495" s="541" t="s">
        <v>1695</v>
      </c>
      <c r="H495" s="541" t="s">
        <v>1696</v>
      </c>
      <c r="I495" s="574"/>
    </row>
    <row r="496" spans="1:10">
      <c r="A496" s="541" t="s">
        <v>1625</v>
      </c>
      <c r="B496" s="541" t="s">
        <v>1626</v>
      </c>
      <c r="C496" s="574">
        <v>4948106898</v>
      </c>
      <c r="G496" s="541" t="s">
        <v>1695</v>
      </c>
      <c r="H496" s="541" t="s">
        <v>1696</v>
      </c>
      <c r="I496" s="574">
        <v>17022200</v>
      </c>
      <c r="J496" s="644">
        <v>17022200</v>
      </c>
    </row>
    <row r="497" spans="1:10">
      <c r="A497" s="541" t="s">
        <v>1655</v>
      </c>
      <c r="B497" s="541" t="s">
        <v>1656</v>
      </c>
      <c r="C497" s="542"/>
      <c r="G497" s="541" t="s">
        <v>1681</v>
      </c>
      <c r="H497" s="541" t="s">
        <v>1682</v>
      </c>
      <c r="I497" s="574">
        <v>265835286</v>
      </c>
      <c r="J497" s="644">
        <v>265835286</v>
      </c>
    </row>
    <row r="498" spans="1:10">
      <c r="A498" s="541" t="s">
        <v>1659</v>
      </c>
      <c r="B498" s="541" t="s">
        <v>1660</v>
      </c>
      <c r="C498" s="574">
        <v>254955</v>
      </c>
      <c r="G498" s="541" t="s">
        <v>1699</v>
      </c>
      <c r="H498" s="541" t="s">
        <v>1700</v>
      </c>
      <c r="I498" s="574"/>
      <c r="J498" s="544"/>
    </row>
    <row r="499" spans="1:10">
      <c r="A499" s="607"/>
      <c r="B499" s="607" t="s">
        <v>2071</v>
      </c>
      <c r="C499" s="626">
        <v>5455</v>
      </c>
      <c r="D499" s="544"/>
      <c r="G499" s="541" t="s">
        <v>1701</v>
      </c>
      <c r="H499" s="541" t="s">
        <v>1700</v>
      </c>
      <c r="I499" s="574"/>
    </row>
    <row r="500" spans="1:10">
      <c r="A500" s="541" t="s">
        <v>1885</v>
      </c>
      <c r="B500" s="541" t="s">
        <v>1886</v>
      </c>
      <c r="C500" s="574">
        <v>1733902</v>
      </c>
      <c r="D500" s="544"/>
      <c r="G500" s="541" t="s">
        <v>1702</v>
      </c>
      <c r="H500" s="541" t="s">
        <v>1703</v>
      </c>
      <c r="I500" s="574"/>
      <c r="J500" s="544"/>
    </row>
    <row r="501" spans="1:10">
      <c r="A501" s="541" t="s">
        <v>1661</v>
      </c>
      <c r="B501" s="541" t="s">
        <v>1624</v>
      </c>
      <c r="C501" s="574">
        <v>29437278</v>
      </c>
      <c r="D501" s="544"/>
      <c r="G501" s="541" t="s">
        <v>1702</v>
      </c>
      <c r="H501" s="541" t="s">
        <v>1703</v>
      </c>
      <c r="I501" s="574">
        <v>67602659</v>
      </c>
      <c r="J501" s="644">
        <v>67602659</v>
      </c>
    </row>
    <row r="502" spans="1:10">
      <c r="A502" s="541" t="s">
        <v>1801</v>
      </c>
      <c r="B502" s="541" t="s">
        <v>1802</v>
      </c>
      <c r="C502" s="574">
        <v>25623856</v>
      </c>
      <c r="D502" s="544"/>
      <c r="G502" s="541" t="s">
        <v>1708</v>
      </c>
      <c r="H502" s="541" t="s">
        <v>1709</v>
      </c>
      <c r="I502" s="574"/>
      <c r="J502" s="544"/>
    </row>
    <row r="503" spans="1:10">
      <c r="A503" s="541" t="s">
        <v>1803</v>
      </c>
      <c r="B503" s="541" t="s">
        <v>1804</v>
      </c>
      <c r="C503" s="574">
        <v>249822</v>
      </c>
      <c r="D503" s="544"/>
      <c r="G503" s="541" t="s">
        <v>1710</v>
      </c>
      <c r="H503" s="541" t="s">
        <v>1711</v>
      </c>
      <c r="I503" s="574">
        <v>82448058</v>
      </c>
      <c r="J503" s="644">
        <v>82448058</v>
      </c>
    </row>
    <row r="504" spans="1:10">
      <c r="A504" s="541" t="s">
        <v>1662</v>
      </c>
      <c r="B504" s="541" t="s">
        <v>1663</v>
      </c>
      <c r="C504" s="574">
        <v>21145605</v>
      </c>
      <c r="D504" s="544"/>
      <c r="G504" s="541" t="s">
        <v>1708</v>
      </c>
      <c r="H504" s="541" t="s">
        <v>1709</v>
      </c>
      <c r="I504" s="574">
        <v>82678058</v>
      </c>
      <c r="J504" s="644">
        <v>82678058</v>
      </c>
    </row>
    <row r="505" spans="1:10">
      <c r="A505" s="541" t="s">
        <v>1655</v>
      </c>
      <c r="B505" s="541" t="s">
        <v>1656</v>
      </c>
      <c r="C505" s="574">
        <v>78450873</v>
      </c>
      <c r="G505" s="541" t="s">
        <v>1701</v>
      </c>
      <c r="H505" s="541" t="s">
        <v>1700</v>
      </c>
      <c r="I505" s="574">
        <v>150280717</v>
      </c>
      <c r="J505" s="523">
        <v>150280717</v>
      </c>
    </row>
    <row r="506" spans="1:10">
      <c r="A506" s="541" t="s">
        <v>1582</v>
      </c>
      <c r="B506" s="541" t="s">
        <v>1583</v>
      </c>
      <c r="C506" s="574">
        <v>9346101013</v>
      </c>
      <c r="D506" s="544"/>
      <c r="G506" s="541" t="s">
        <v>1699</v>
      </c>
      <c r="H506" s="541" t="s">
        <v>1700</v>
      </c>
      <c r="I506" s="574">
        <v>150280717</v>
      </c>
      <c r="J506" s="644">
        <v>150280717</v>
      </c>
    </row>
    <row r="507" spans="1:10">
      <c r="A507" s="541" t="s">
        <v>1664</v>
      </c>
      <c r="B507" s="541" t="s">
        <v>1665</v>
      </c>
      <c r="C507" s="542"/>
      <c r="D507" s="544"/>
      <c r="G507" s="541" t="s">
        <v>1578</v>
      </c>
      <c r="H507" s="541" t="s">
        <v>1579</v>
      </c>
      <c r="I507" s="574">
        <v>2829318427</v>
      </c>
      <c r="J507" s="644">
        <v>2829318427</v>
      </c>
    </row>
    <row r="508" spans="1:10">
      <c r="A508" s="541" t="s">
        <v>1666</v>
      </c>
      <c r="B508" s="541" t="s">
        <v>1667</v>
      </c>
      <c r="C508" s="542"/>
      <c r="D508" s="544"/>
      <c r="G508" s="541" t="s">
        <v>1394</v>
      </c>
      <c r="H508" s="541" t="s">
        <v>1395</v>
      </c>
      <c r="I508" s="574">
        <v>-13391023</v>
      </c>
      <c r="J508" s="523">
        <v>-13391023</v>
      </c>
    </row>
    <row r="509" spans="1:10">
      <c r="A509" s="541" t="s">
        <v>1805</v>
      </c>
      <c r="B509" s="541" t="s">
        <v>1576</v>
      </c>
      <c r="C509" s="574">
        <v>166298701</v>
      </c>
      <c r="D509" s="544"/>
      <c r="G509" s="541" t="s">
        <v>1394</v>
      </c>
      <c r="H509" s="541" t="s">
        <v>1714</v>
      </c>
      <c r="I509" s="574" t="s">
        <v>2538</v>
      </c>
      <c r="J509" s="544" t="s">
        <v>2538</v>
      </c>
    </row>
    <row r="510" spans="1:10">
      <c r="A510" s="541" t="s">
        <v>1668</v>
      </c>
      <c r="B510" s="541" t="s">
        <v>1669</v>
      </c>
      <c r="C510" s="574">
        <v>3463142</v>
      </c>
      <c r="D510" s="544"/>
      <c r="G510" s="541"/>
      <c r="H510" s="541"/>
      <c r="J510" s="544"/>
    </row>
    <row r="511" spans="1:10">
      <c r="A511" s="541" t="s">
        <v>1806</v>
      </c>
      <c r="B511" s="541" t="s">
        <v>1807</v>
      </c>
      <c r="C511" s="574">
        <v>1853217</v>
      </c>
      <c r="G511" s="541"/>
      <c r="H511" s="541"/>
      <c r="I511" s="574"/>
      <c r="J511" s="544"/>
    </row>
    <row r="512" spans="1:10">
      <c r="A512" s="541" t="s">
        <v>1808</v>
      </c>
      <c r="B512" s="541" t="s">
        <v>1809</v>
      </c>
      <c r="C512" s="574">
        <v>500000</v>
      </c>
      <c r="G512" s="541"/>
      <c r="H512" s="541"/>
      <c r="I512" s="574"/>
      <c r="J512" s="544"/>
    </row>
    <row r="513" spans="1:10">
      <c r="A513" s="607"/>
      <c r="B513" s="607" t="s">
        <v>1888</v>
      </c>
      <c r="C513" s="626">
        <v>18436363</v>
      </c>
      <c r="G513" s="541"/>
      <c r="H513" s="541"/>
      <c r="I513" s="574"/>
    </row>
    <row r="514" spans="1:10">
      <c r="A514" s="541" t="s">
        <v>1666</v>
      </c>
      <c r="B514" s="541" t="s">
        <v>1667</v>
      </c>
      <c r="C514" s="574">
        <v>190551423</v>
      </c>
      <c r="D514" s="544"/>
      <c r="G514" s="541"/>
      <c r="H514" s="541"/>
      <c r="I514" s="574"/>
    </row>
    <row r="515" spans="1:10">
      <c r="A515" s="541" t="s">
        <v>1670</v>
      </c>
      <c r="B515" s="541" t="s">
        <v>1671</v>
      </c>
      <c r="C515" s="542"/>
      <c r="D515" s="544"/>
      <c r="G515" s="541"/>
      <c r="H515" s="541"/>
      <c r="I515" s="574"/>
    </row>
    <row r="516" spans="1:10">
      <c r="A516" s="541" t="s">
        <v>1672</v>
      </c>
      <c r="B516" s="541" t="s">
        <v>1017</v>
      </c>
      <c r="C516" s="574">
        <v>146748306</v>
      </c>
      <c r="D516" s="544"/>
      <c r="G516" s="541"/>
      <c r="H516" s="541"/>
      <c r="I516" s="574"/>
      <c r="J516" s="544"/>
    </row>
    <row r="517" spans="1:10">
      <c r="A517" s="541" t="s">
        <v>1670</v>
      </c>
      <c r="B517" s="541" t="s">
        <v>1671</v>
      </c>
      <c r="C517" s="574">
        <v>146748306</v>
      </c>
      <c r="D517" s="544"/>
      <c r="G517" s="541"/>
      <c r="H517" s="541"/>
      <c r="I517" s="574"/>
      <c r="J517" s="544"/>
    </row>
    <row r="518" spans="1:10">
      <c r="A518" s="541" t="s">
        <v>1673</v>
      </c>
      <c r="B518" s="541" t="s">
        <v>1674</v>
      </c>
      <c r="C518" s="502"/>
      <c r="G518" s="541"/>
      <c r="H518" s="541"/>
      <c r="I518" s="574"/>
      <c r="J518" s="544"/>
    </row>
    <row r="519" spans="1:10">
      <c r="A519" s="541" t="s">
        <v>1675</v>
      </c>
      <c r="B519" s="541" t="s">
        <v>1676</v>
      </c>
      <c r="C519" s="574">
        <v>41504718</v>
      </c>
      <c r="D519" s="544"/>
      <c r="G519" s="541"/>
      <c r="H519" s="541"/>
      <c r="J519" s="544"/>
    </row>
    <row r="520" spans="1:10">
      <c r="A520" s="541" t="s">
        <v>1673</v>
      </c>
      <c r="B520" s="541" t="s">
        <v>1674</v>
      </c>
      <c r="C520" s="574">
        <v>41504718</v>
      </c>
      <c r="D520" s="544"/>
      <c r="G520" s="541"/>
      <c r="H520" s="541"/>
      <c r="J520" s="544"/>
    </row>
    <row r="521" spans="1:10">
      <c r="A521" s="541" t="s">
        <v>1810</v>
      </c>
      <c r="B521" s="541" t="s">
        <v>1811</v>
      </c>
      <c r="C521" s="502"/>
      <c r="D521" s="544"/>
      <c r="G521" s="541"/>
      <c r="H521" s="541"/>
      <c r="I521" s="574"/>
      <c r="J521" s="544"/>
    </row>
    <row r="522" spans="1:10">
      <c r="A522" s="541" t="s">
        <v>1812</v>
      </c>
      <c r="B522" s="541" t="s">
        <v>1813</v>
      </c>
      <c r="C522" s="574">
        <v>11099091</v>
      </c>
      <c r="D522" s="544"/>
      <c r="G522" s="541"/>
      <c r="H522" s="541"/>
      <c r="I522" s="574"/>
    </row>
    <row r="523" spans="1:10">
      <c r="A523" s="541" t="s">
        <v>1810</v>
      </c>
      <c r="B523" s="541" t="s">
        <v>1811</v>
      </c>
      <c r="C523" s="574">
        <v>11099091</v>
      </c>
      <c r="D523" s="544"/>
      <c r="G523" s="541"/>
      <c r="H523" s="541"/>
      <c r="I523" s="574"/>
      <c r="J523" s="544"/>
    </row>
    <row r="524" spans="1:10">
      <c r="A524" s="541" t="s">
        <v>1677</v>
      </c>
      <c r="B524" s="541" t="s">
        <v>1678</v>
      </c>
      <c r="C524" s="574"/>
      <c r="D524" s="544"/>
      <c r="G524" s="541"/>
      <c r="H524" s="541"/>
      <c r="I524" s="574"/>
      <c r="J524" s="544"/>
    </row>
    <row r="525" spans="1:10">
      <c r="A525" s="541" t="s">
        <v>1679</v>
      </c>
      <c r="B525" s="541" t="s">
        <v>1680</v>
      </c>
      <c r="C525" s="574">
        <v>59417197</v>
      </c>
      <c r="D525" s="544"/>
      <c r="G525" s="541"/>
      <c r="H525" s="541"/>
      <c r="I525" s="574"/>
      <c r="J525" s="544"/>
    </row>
    <row r="526" spans="1:10">
      <c r="A526" s="541" t="s">
        <v>1677</v>
      </c>
      <c r="B526" s="541" t="s">
        <v>1678</v>
      </c>
      <c r="C526" s="502">
        <v>59417197</v>
      </c>
      <c r="D526" s="544"/>
      <c r="G526" s="541"/>
      <c r="H526" s="541"/>
      <c r="J526" s="544"/>
    </row>
    <row r="527" spans="1:10">
      <c r="A527" s="541" t="s">
        <v>1664</v>
      </c>
      <c r="B527" s="541" t="s">
        <v>1665</v>
      </c>
      <c r="C527" s="502">
        <v>449320735</v>
      </c>
      <c r="D527" s="544"/>
      <c r="G527" s="541"/>
      <c r="H527" s="541"/>
      <c r="I527" s="574"/>
      <c r="J527" s="544"/>
    </row>
    <row r="528" spans="1:10">
      <c r="A528" s="541" t="s">
        <v>1580</v>
      </c>
      <c r="B528" s="541" t="s">
        <v>1581</v>
      </c>
      <c r="C528" s="502">
        <v>9795421748</v>
      </c>
      <c r="G528" s="541"/>
      <c r="H528" s="541"/>
      <c r="I528" s="574"/>
    </row>
    <row r="529" spans="1:10">
      <c r="A529" s="541" t="s">
        <v>1681</v>
      </c>
      <c r="B529" s="541" t="s">
        <v>1682</v>
      </c>
      <c r="C529" s="542"/>
      <c r="G529" s="541"/>
      <c r="H529" s="541"/>
    </row>
    <row r="530" spans="1:10">
      <c r="A530" s="541" t="s">
        <v>1683</v>
      </c>
      <c r="B530" s="541" t="s">
        <v>1684</v>
      </c>
      <c r="G530" s="541"/>
      <c r="H530" s="541"/>
      <c r="I530" s="574"/>
    </row>
    <row r="531" spans="1:10">
      <c r="A531" s="541" t="s">
        <v>1685</v>
      </c>
      <c r="B531" s="541" t="s">
        <v>1686</v>
      </c>
      <c r="C531" s="542"/>
      <c r="G531" s="541"/>
      <c r="H531" s="541"/>
      <c r="I531" s="574"/>
      <c r="J531" s="544"/>
    </row>
    <row r="532" spans="1:10">
      <c r="A532" s="541" t="s">
        <v>1687</v>
      </c>
      <c r="B532" s="541" t="s">
        <v>1688</v>
      </c>
      <c r="C532" s="574">
        <v>40870394</v>
      </c>
      <c r="G532" s="541"/>
      <c r="H532" s="541"/>
      <c r="J532" s="544"/>
    </row>
    <row r="533" spans="1:10">
      <c r="A533" s="541" t="s">
        <v>1689</v>
      </c>
      <c r="B533" s="541" t="s">
        <v>1690</v>
      </c>
      <c r="C533" s="574">
        <v>30275072</v>
      </c>
      <c r="G533" s="541"/>
      <c r="H533" s="541"/>
      <c r="I533" s="574"/>
      <c r="J533" s="544"/>
    </row>
    <row r="534" spans="1:10">
      <c r="A534" s="607"/>
      <c r="B534" s="607" t="s">
        <v>1896</v>
      </c>
      <c r="C534" s="626">
        <v>17288814</v>
      </c>
      <c r="G534" s="541"/>
      <c r="H534" s="541"/>
      <c r="I534" s="574"/>
      <c r="J534" s="544"/>
    </row>
    <row r="535" spans="1:10">
      <c r="A535" s="541" t="s">
        <v>1691</v>
      </c>
      <c r="B535" s="541" t="s">
        <v>1692</v>
      </c>
      <c r="C535" s="574">
        <v>15882900</v>
      </c>
      <c r="G535" s="541"/>
      <c r="H535" s="541"/>
    </row>
    <row r="536" spans="1:10">
      <c r="A536" s="541" t="s">
        <v>1693</v>
      </c>
      <c r="B536" s="541" t="s">
        <v>1694</v>
      </c>
      <c r="C536" s="574">
        <v>62818327</v>
      </c>
      <c r="G536" s="541"/>
      <c r="H536" s="541"/>
      <c r="I536" s="574"/>
      <c r="J536" s="544"/>
    </row>
    <row r="537" spans="1:10">
      <c r="A537" s="541" t="s">
        <v>1814</v>
      </c>
      <c r="B537" s="541" t="s">
        <v>1815</v>
      </c>
      <c r="C537" s="574">
        <v>413114862</v>
      </c>
      <c r="G537" s="541"/>
      <c r="H537" s="541"/>
      <c r="I537" s="574"/>
      <c r="J537" s="544"/>
    </row>
    <row r="538" spans="1:10">
      <c r="A538" s="541" t="s">
        <v>1685</v>
      </c>
      <c r="B538" s="541" t="s">
        <v>1686</v>
      </c>
      <c r="C538" s="574">
        <v>580250369</v>
      </c>
      <c r="G538" s="541"/>
      <c r="H538" s="541"/>
      <c r="I538" s="574"/>
      <c r="J538" s="544"/>
    </row>
    <row r="539" spans="1:10">
      <c r="A539" s="541" t="s">
        <v>1683</v>
      </c>
      <c r="B539" s="541" t="s">
        <v>1684</v>
      </c>
      <c r="C539" s="574">
        <v>580250369</v>
      </c>
      <c r="G539" s="541"/>
      <c r="H539" s="541"/>
      <c r="I539" s="574"/>
      <c r="J539" s="544"/>
    </row>
    <row r="540" spans="1:10">
      <c r="A540" s="541" t="s">
        <v>1816</v>
      </c>
      <c r="B540" s="541" t="s">
        <v>1817</v>
      </c>
      <c r="C540" s="502"/>
      <c r="G540" s="541"/>
      <c r="H540" s="541"/>
      <c r="J540" s="544"/>
    </row>
    <row r="541" spans="1:10">
      <c r="A541" s="541" t="s">
        <v>1818</v>
      </c>
      <c r="B541" s="541" t="s">
        <v>1819</v>
      </c>
      <c r="C541" s="574">
        <v>310553100</v>
      </c>
      <c r="G541" s="541"/>
      <c r="H541" s="541"/>
      <c r="J541" s="544"/>
    </row>
    <row r="542" spans="1:10">
      <c r="A542" s="541" t="s">
        <v>1820</v>
      </c>
      <c r="B542" s="541" t="s">
        <v>1821</v>
      </c>
      <c r="C542" s="574">
        <v>15015052</v>
      </c>
      <c r="G542" s="541"/>
      <c r="H542" s="541"/>
      <c r="J542" s="544"/>
    </row>
    <row r="543" spans="1:10">
      <c r="A543" s="541" t="s">
        <v>1816</v>
      </c>
      <c r="B543" s="541" t="s">
        <v>1817</v>
      </c>
      <c r="C543" s="574">
        <v>325568152</v>
      </c>
      <c r="G543" s="541"/>
      <c r="H543" s="541"/>
      <c r="I543" s="574"/>
      <c r="J543" s="544"/>
    </row>
    <row r="544" spans="1:10">
      <c r="A544" s="541" t="s">
        <v>1822</v>
      </c>
      <c r="B544" s="541" t="s">
        <v>1823</v>
      </c>
      <c r="C544" s="542"/>
      <c r="G544" s="541"/>
      <c r="H544" s="541"/>
      <c r="I544" s="574"/>
      <c r="J544" s="544"/>
    </row>
    <row r="545" spans="1:9">
      <c r="A545" s="541">
        <v>530302</v>
      </c>
      <c r="B545" s="541" t="s">
        <v>1824</v>
      </c>
      <c r="C545" s="574">
        <v>4489132</v>
      </c>
      <c r="G545" s="541"/>
      <c r="H545" s="541"/>
      <c r="I545" s="574"/>
    </row>
    <row r="546" spans="1:9">
      <c r="A546" s="607">
        <v>530306</v>
      </c>
      <c r="B546" s="607" t="s">
        <v>1901</v>
      </c>
      <c r="C546" s="626">
        <v>1399298</v>
      </c>
      <c r="G546" s="541"/>
      <c r="H546" s="541"/>
      <c r="I546" s="574"/>
    </row>
    <row r="547" spans="1:9">
      <c r="A547" s="541">
        <v>5303</v>
      </c>
      <c r="B547" s="541" t="s">
        <v>1823</v>
      </c>
      <c r="C547" s="502">
        <v>5888430</v>
      </c>
      <c r="G547" s="541"/>
      <c r="H547" s="541"/>
      <c r="I547" s="574"/>
    </row>
    <row r="548" spans="1:9">
      <c r="A548" s="541" t="s">
        <v>1695</v>
      </c>
      <c r="B548" s="541" t="s">
        <v>1696</v>
      </c>
      <c r="C548" s="502"/>
      <c r="G548" s="541"/>
      <c r="H548" s="541"/>
      <c r="I548" s="574"/>
    </row>
    <row r="549" spans="1:9">
      <c r="A549" s="541" t="s">
        <v>1697</v>
      </c>
      <c r="B549" s="541" t="s">
        <v>1698</v>
      </c>
      <c r="C549" s="574">
        <v>82419492</v>
      </c>
      <c r="G549" s="541"/>
      <c r="H549" s="541"/>
      <c r="I549" s="574"/>
    </row>
    <row r="550" spans="1:9">
      <c r="A550" s="541" t="s">
        <v>1695</v>
      </c>
      <c r="B550" s="541" t="s">
        <v>1696</v>
      </c>
      <c r="C550" s="574">
        <v>82419492</v>
      </c>
      <c r="G550" s="541"/>
      <c r="H550" s="541"/>
    </row>
    <row r="551" spans="1:9">
      <c r="A551" s="541" t="s">
        <v>1681</v>
      </c>
      <c r="B551" s="541" t="s">
        <v>1682</v>
      </c>
      <c r="C551" s="574">
        <v>994126443</v>
      </c>
      <c r="G551" s="541"/>
      <c r="H551" s="541"/>
      <c r="I551" s="574"/>
    </row>
    <row r="552" spans="1:9">
      <c r="A552" s="541" t="s">
        <v>1699</v>
      </c>
      <c r="B552" s="541" t="s">
        <v>1700</v>
      </c>
      <c r="C552" s="542"/>
      <c r="G552" s="541"/>
      <c r="H552" s="541"/>
      <c r="I552" s="574"/>
    </row>
    <row r="553" spans="1:9">
      <c r="A553" s="541" t="s">
        <v>1701</v>
      </c>
      <c r="B553" s="541" t="s">
        <v>1700</v>
      </c>
      <c r="C553" s="542"/>
      <c r="G553" s="541"/>
      <c r="H553" s="541"/>
      <c r="I553" s="574"/>
    </row>
    <row r="554" spans="1:9">
      <c r="A554" s="541" t="s">
        <v>1702</v>
      </c>
      <c r="B554" s="541" t="s">
        <v>1703</v>
      </c>
      <c r="C554" s="542"/>
      <c r="G554" s="541"/>
      <c r="H554" s="541"/>
    </row>
    <row r="555" spans="1:9">
      <c r="A555" s="541" t="s">
        <v>1897</v>
      </c>
      <c r="B555" s="541" t="s">
        <v>1898</v>
      </c>
      <c r="C555" s="574">
        <v>1425</v>
      </c>
      <c r="G555" s="541"/>
      <c r="H555" s="541"/>
      <c r="I555" s="574"/>
    </row>
    <row r="556" spans="1:9">
      <c r="A556" s="541" t="s">
        <v>1704</v>
      </c>
      <c r="B556" s="541" t="s">
        <v>1705</v>
      </c>
      <c r="C556" s="574">
        <v>308967798</v>
      </c>
      <c r="G556" s="541"/>
      <c r="H556" s="541"/>
      <c r="I556" s="574"/>
    </row>
    <row r="557" spans="1:9">
      <c r="A557" s="541" t="s">
        <v>1706</v>
      </c>
      <c r="B557" s="541" t="s">
        <v>1707</v>
      </c>
      <c r="C557" s="574">
        <v>54541625</v>
      </c>
      <c r="G557" s="541"/>
      <c r="H557" s="541"/>
    </row>
    <row r="558" spans="1:9">
      <c r="A558" s="541" t="s">
        <v>1702</v>
      </c>
      <c r="B558" s="541" t="s">
        <v>1703</v>
      </c>
      <c r="C558" s="574">
        <v>363510848</v>
      </c>
      <c r="G558" s="541"/>
      <c r="H558" s="541"/>
      <c r="I558" s="574"/>
    </row>
    <row r="559" spans="1:9">
      <c r="A559" s="541" t="s">
        <v>1708</v>
      </c>
      <c r="B559" s="541" t="s">
        <v>1709</v>
      </c>
      <c r="C559" s="502"/>
      <c r="G559" s="541"/>
      <c r="H559" s="541"/>
      <c r="I559" s="574"/>
    </row>
    <row r="560" spans="1:9">
      <c r="A560" s="541">
        <v>540111001</v>
      </c>
      <c r="B560" s="541" t="s">
        <v>1711</v>
      </c>
      <c r="C560" s="574">
        <v>657525068</v>
      </c>
      <c r="G560" s="541"/>
      <c r="H560" s="541"/>
      <c r="I560" s="574"/>
    </row>
    <row r="561" spans="1:9">
      <c r="A561" s="607">
        <v>540111021</v>
      </c>
      <c r="B561" s="607" t="s">
        <v>2072</v>
      </c>
      <c r="C561" s="626">
        <v>13090000</v>
      </c>
      <c r="G561" s="541"/>
      <c r="H561" s="541"/>
    </row>
    <row r="562" spans="1:9">
      <c r="A562" s="541">
        <v>540111150</v>
      </c>
      <c r="B562" s="541" t="s">
        <v>1713</v>
      </c>
      <c r="C562" s="574">
        <v>1612000</v>
      </c>
      <c r="G562" s="541"/>
      <c r="H562" s="541"/>
    </row>
    <row r="563" spans="1:9">
      <c r="A563" s="541">
        <v>540111</v>
      </c>
      <c r="B563" s="541" t="s">
        <v>1709</v>
      </c>
      <c r="C563" s="574">
        <v>672227068</v>
      </c>
      <c r="G563" s="541"/>
      <c r="H563" s="541"/>
    </row>
    <row r="564" spans="1:9">
      <c r="A564" s="541">
        <v>5401</v>
      </c>
      <c r="B564" s="541" t="s">
        <v>1700</v>
      </c>
      <c r="C564" s="574">
        <v>1035737916</v>
      </c>
      <c r="G564" s="541"/>
      <c r="H564" s="541"/>
      <c r="I564" s="574"/>
    </row>
    <row r="565" spans="1:9">
      <c r="A565" s="541">
        <v>54</v>
      </c>
      <c r="B565" s="541" t="s">
        <v>1700</v>
      </c>
      <c r="C565" s="574">
        <v>1035737916</v>
      </c>
      <c r="G565" s="541"/>
      <c r="H565" s="541"/>
      <c r="I565" s="574"/>
    </row>
    <row r="566" spans="1:9">
      <c r="A566" s="545">
        <v>55</v>
      </c>
      <c r="B566" s="545" t="s">
        <v>2060</v>
      </c>
      <c r="C566" s="502"/>
      <c r="G566" s="541"/>
      <c r="H566" s="541"/>
      <c r="I566" s="574"/>
    </row>
    <row r="567" spans="1:9">
      <c r="A567" s="545">
        <v>5501</v>
      </c>
      <c r="B567" s="545" t="s">
        <v>2060</v>
      </c>
      <c r="C567" s="502"/>
      <c r="G567" s="541"/>
      <c r="H567" s="541"/>
      <c r="I567" s="574"/>
    </row>
    <row r="568" spans="1:9">
      <c r="A568" s="545">
        <v>550101</v>
      </c>
      <c r="B568" s="545" t="s">
        <v>2061</v>
      </c>
      <c r="C568" s="502"/>
      <c r="G568" s="541"/>
      <c r="H568" s="541"/>
    </row>
    <row r="569" spans="1:9">
      <c r="A569" s="545">
        <v>550101001</v>
      </c>
      <c r="B569" s="545" t="s">
        <v>1088</v>
      </c>
      <c r="C569" s="502">
        <v>292347829</v>
      </c>
      <c r="G569" s="541"/>
      <c r="H569" s="541"/>
      <c r="I569" s="574"/>
    </row>
    <row r="570" spans="1:9">
      <c r="A570" s="545">
        <v>550101</v>
      </c>
      <c r="B570" s="545" t="s">
        <v>2061</v>
      </c>
      <c r="C570" s="502">
        <v>292347829</v>
      </c>
      <c r="G570" s="541"/>
      <c r="H570" s="541"/>
      <c r="I570" s="574"/>
    </row>
    <row r="571" spans="1:9">
      <c r="A571" s="545">
        <v>5501</v>
      </c>
      <c r="B571" s="545" t="s">
        <v>2060</v>
      </c>
      <c r="C571" s="502">
        <v>292347829</v>
      </c>
      <c r="G571" s="541"/>
      <c r="H571" s="541"/>
      <c r="I571" s="574"/>
    </row>
    <row r="572" spans="1:9">
      <c r="A572" s="545">
        <v>55</v>
      </c>
      <c r="B572" s="545" t="s">
        <v>2060</v>
      </c>
      <c r="C572" s="502">
        <v>292347829</v>
      </c>
      <c r="G572" s="541"/>
      <c r="H572" s="541"/>
      <c r="I572" s="574"/>
    </row>
    <row r="573" spans="1:9">
      <c r="A573" s="545">
        <v>5</v>
      </c>
      <c r="B573" s="545" t="s">
        <v>1579</v>
      </c>
      <c r="C573" s="502">
        <v>12117633936</v>
      </c>
      <c r="G573" s="541"/>
      <c r="H573" s="541"/>
      <c r="I573" s="574"/>
    </row>
    <row r="574" spans="1:9">
      <c r="A574" s="545" t="s">
        <v>1394</v>
      </c>
      <c r="B574" s="545" t="s">
        <v>1395</v>
      </c>
      <c r="C574" s="502">
        <v>-562605594</v>
      </c>
      <c r="G574" s="541"/>
      <c r="H574" s="541"/>
      <c r="I574" s="574"/>
    </row>
    <row r="575" spans="1:9">
      <c r="A575" s="545" t="s">
        <v>1394</v>
      </c>
      <c r="B575" s="545" t="s">
        <v>1714</v>
      </c>
      <c r="C575" s="502">
        <v>0</v>
      </c>
      <c r="G575" s="541"/>
      <c r="H575" s="541"/>
      <c r="I575" s="574"/>
    </row>
    <row r="576" spans="1:9">
      <c r="A576" s="541"/>
      <c r="B576" s="541"/>
      <c r="C576" s="542"/>
      <c r="G576" s="541"/>
      <c r="H576" s="541"/>
      <c r="I576" s="574"/>
    </row>
    <row r="577" spans="1:3">
      <c r="A577" s="541"/>
      <c r="B577" s="541"/>
      <c r="C577" s="542"/>
    </row>
    <row r="578" spans="1:3">
      <c r="A578" s="541"/>
      <c r="B578" s="541"/>
      <c r="C578" s="542"/>
    </row>
    <row r="579" spans="1:3">
      <c r="A579" s="541"/>
      <c r="B579" s="541"/>
      <c r="C579" s="542"/>
    </row>
  </sheetData>
  <pageMargins left="0.7" right="0.7" top="0.75" bottom="0.75" header="0.3" footer="0.3"/>
  <pageSetup paperSize="9" orientation="portrait" verticalDpi="0"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U76RPN/+FyXkwAmBnyaxVWtMzuJtxFsEOaZstrST2P0=</DigestValue>
    </Reference>
    <Reference Type="http://www.w3.org/2000/09/xmldsig#Object" URI="#idOfficeObject">
      <DigestMethod Algorithm="http://www.w3.org/2001/04/xmlenc#sha256"/>
      <DigestValue>AFqUXDBw6fYPPqtizst70iBmNp9357w16FL5/xZV0pY=</DigestValue>
    </Reference>
    <Reference Type="http://uri.etsi.org/01903#SignedProperties" URI="#idSignedProperties">
      <Transforms>
        <Transform Algorithm="http://www.w3.org/TR/2001/REC-xml-c14n-20010315"/>
      </Transforms>
      <DigestMethod Algorithm="http://www.w3.org/2001/04/xmlenc#sha256"/>
      <DigestValue>dFv8EJtdjRPZp6YRhFMDQ/XQlrcxTPr6r/lf0Gxd73g=</DigestValue>
    </Reference>
    <Reference Type="http://www.w3.org/2000/09/xmldsig#Object" URI="#idValidSigLnImg">
      <DigestMethod Algorithm="http://www.w3.org/2001/04/xmlenc#sha256"/>
      <DigestValue>3ALOubBCJiolqMLfXoRGE/OnZXgbEb+BoNegPhWz4RE=</DigestValue>
    </Reference>
    <Reference Type="http://www.w3.org/2000/09/xmldsig#Object" URI="#idInvalidSigLnImg">
      <DigestMethod Algorithm="http://www.w3.org/2001/04/xmlenc#sha256"/>
      <DigestValue>yyMU2Dk2MJWPlV8hkuwmt+R4BYaOetSf0HVjKqxFClw=</DigestValue>
    </Reference>
  </SignedInfo>
  <SignatureValue>eNXGfHfdvvBXi+lKUaU26f/W8HX6a5WszBD4YdyZthjo/GpAyN0Oe0/WdATD8B8gvG0Lb1qH/z3v
sL2S0QCSouDyRcEVZJ6huIt3x7u8oObw1mBL+IpfIIrz892Y9TxOFFg4uKfrBEcoG5XtWgCGb++e
MsZPO1hDbmHTwHftvDxraphcrX5gG7iokdsUM5RAb7e4fqpkczwpHKztVIHOsmLaPEsuGl61/C15
75krPSm/X4XowH3Hf7kDs1G8bw+FKwDjzx2GrvIWZSDdEMxW6lKQeOue9u0lMZd7cHpkoNkyQXzJ
v2i1du1H/9xW6zrA8YqFgtezFkIzRlevc+q+sg==</SignatureValue>
  <KeyInfo>
    <X509Data>
      <X509Certificate>MIIIijCCBnKgAwIBAgIIZDzbNTLVEkcwDQYJKoZIhvcNAQELBQAwWjEaMBgGA1UEAwwRQ0EtRE9DVU1FTlRBIFMuQS4xFjAUBgNVBAUTDVJVQzgwMDUwMTcyLTExFzAVBgNVBAoMDkRPQ1VNRU5UQSBTLkEuMQswCQYDVQQGEwJQWTAeFw0yMzA1MTAxNzA4MDBaFw0yNTA1MDkxNzA4MDBaMIG9MSUwIwYDVQQDDBxFTFZJUkEgTk9FTUkgUlVGRklORUxMSSBESUFaMRIwEAYDVQQFEwlDSTEyMzI4MTYxFTATBgNVBCoMDEVMVklSQSBOT0VNSTEYMBYGA1UEBAwPUlVGRklORUxMSSBESUFaMQswCQYDVQQLDAJGMjE1MDMGA1UECgwsQ0VSVElGSUNBRE8gQ1VBTElGSUNBRE8gREUgRklSTUEgRUxFQ1RST05JQ0ExCzAJBgNVBAYTAlBZMIIBIjANBgkqhkiG9w0BAQEFAAOCAQ8AMIIBCgKCAQEAuiUTFFIT4b386Arz3d39B6JOiB/f2IsgX+JZcuqOKe7ZAwY4YRwV9VoG3YnlVXJXypCvtUpN+cVnvEFTLmxABZuOhv7gbJqQG142RDUVYrvmFaF/MGgus1j7gP4i1ZuPDTpizd+IdilsxE71gURuJEjAeZs1RiiaQUkcwimnDk5zKIqu3z5Z4x48qkLqicPyg32M+X3/gTqnGg0f6TpPK0tIsDl3BsZDRemztcfYzKmtUS4X30IiIROrlgSUm4hyPSTq8WqK6tUxq9lT4e38jDgWHtDOh3/+x1KT3D5x8DRmW91TipR2Qgk7QXz4c+AnzMGfQjoX2t+3vljrTuceeQIDAQABo4ID7jCCA+owDAYDVR0TAQH/BAIwADAfBgNVHSMEGDAWgBShPYUrzdgslh85AgyfUztY2JULezCBlAYIKwYBBQUHAQEEgYcwgYQwVQYIKwYBBQUHMAKGSWh0dHBzOi8vd3d3LmRpZ2l0by5jb20ucHkvdXBsb2Fkcy9jZXJ0aWZpY2Fkby1kb2N1bWVudGEtc2EtMTUzNTExNzc3MS5jcnQwKwYIKwYBBQUHMAGGH2h0dHBzOi8vd3d3LmRpZ2l0by5jb20ucHkvb2NzcC8wUQYDVR0RBEowSIEaZWx2aXJhcnVmZmluZWxsaUBnbWFpbC5jb22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RIdwRQKjSEm/rsvg9rs/ASd8CO/TAOBgNVHQ8BAf8EBAMCBeAwDQYJKoZIhvcNAQELBQADggIBAAytmjJbsvZuAieGqRsvmz4d3QGtCp/xhTU9H8w95S354uZOUeC/jdxHvx9njQPJe0MYPbKPG3LsgTsWI5oJBYmjU+jIQt1RWgSUBIbYAP1M2F46Q8CvrMq++7Vd35VLxCBx6HwR5XONw33WJPUZDbcqZkpJyWubWqqpG/jdMQUyYs/4RHJClrDNMQ8EJyD/MIJ7g6i8wIBz0OgJSJWBhmzWdiGH/QfJ/UakDGzjCGqOzavZlljd6+6V6ruazBlprLsWD9NLqHF//0PHMVrTC7mx+drJXDwCdVWcJpBUKIMjECuZUlSC7z6LzfkIbw6WMdE9K+2hKM9xqK3N1VaXIWgoWIOGJbbBykLWW1AZxyjwQUuVelbWl1gnHuDFPViPkWGlIIfBJoqeSmFp3A/H2H7sAkubIUCrJu6PTtI1OwqlDQLlFpVLDm5kjOp9hH9jEcat2RlypMXG6e7d9X+cVLD/TMpyIZM/A66Y+bAV4VOCEtdbEK7oSBvz7PxoNukcW2Wmtm4RSZzN/bwQYRzkdMoZTJ9VNzcag8iWtz5XKrfIROspw3UnJLg7lp1pe9mf0IrljTECHQBHHaBSZofvlT3yJIQW6hHeqARuokKcRFzO2BGj9aH7Sc/sPMaUfy1scvHmvPXejgdZGPmkvH/L8Uk8xKt0f0gpj4L7e9r6yG0I</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5"/>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9"/>
            <mdssi:RelationshipReference xmlns:mdssi="http://schemas.openxmlformats.org/package/2006/digital-signature" SourceId="rId21"/>
            <mdssi:RelationshipReference xmlns:mdssi="http://schemas.openxmlformats.org/package/2006/digital-signature" SourceId="rId34"/>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Transform>
          <Transform Algorithm="http://www.w3.org/TR/2001/REC-xml-c14n-20010315"/>
        </Transforms>
        <DigestMethod Algorithm="http://www.w3.org/2001/04/xmlenc#sha256"/>
        <DigestValue>Zz0xER3YyKhvq6dCyEW8DTGsg+0BZGcvL5ovUYjg5B0=</DigestValue>
      </Reference>
      <Reference URI="/xl/calcChain.xml?ContentType=application/vnd.openxmlformats-officedocument.spreadsheetml.calcChain+xml">
        <DigestMethod Algorithm="http://www.w3.org/2001/04/xmlenc#sha256"/>
        <DigestValue>QYLNhQtSeJKeNm5U69XhznxnmTeroni8jaoD4PlPpc4=</DigestValue>
      </Reference>
      <Reference URI="/xl/comments1.xml?ContentType=application/vnd.openxmlformats-officedocument.spreadsheetml.comments+xml">
        <DigestMethod Algorithm="http://www.w3.org/2001/04/xmlenc#sha256"/>
        <DigestValue>X/UIwihzg9WeLhGZaDLNevY11fnj8VAnUm7SpDf/hOU=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gVciYapsdVcb/3vca7023f1on0v1Jjtk4gOwMSootNY=</DigestValue>
      </Reference>
      <Reference URI="/xl/drawings/_rels/drawing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zvawOkj2ZpJaElbe7viv1SV24CTjrFm5lg52HHXMy64=</DigestValue>
      </Reference>
      <Reference URI="/xl/drawings/_rels/drawing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+Q/h8VCm4CgFvcfza0TUiIPwPlFvJtd3nZDaT07ikzE=</DigestValue>
      </Reference>
      <Reference URI="/xl/drawings/_rels/drawing1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+Q/h8VCm4CgFvcfza0TUiIPwPlFvJtd3nZDaT07ikzE=</DigestValue>
      </Reference>
      <Reference URI="/xl/drawings/_rels/drawing1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3ktp5G78Gk4mHhRbQpex/A2uroWOFeEcwI3ykb/Y4k4=</DigestValue>
      </Reference>
      <Reference URI="/xl/drawings/_rels/drawing1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+Q/h8VCm4CgFvcfza0TUiIPwPlFvJtd3nZDaT07ikzE=</DigestValue>
      </Reference>
      <Reference URI="/xl/drawings/_rels/drawing1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zqAfp9wHYCEfT5gXemvbnFgp6nqmGqPiDk1Rv20Hkos=</DigestValue>
      </Reference>
      <Reference URI="/xl/drawings/_rels/drawing1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IBYNOIXoeKsBUOH4MoGFnThE9WhsHItih78/a5dkKxw=</DigestValue>
      </Reference>
      <Reference URI="/xl/drawings/_rels/drawing1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IBYNOIXoeKsBUOH4MoGFnThE9WhsHItih78/a5dkKxw=</DigestValue>
      </Reference>
      <Reference URI="/xl/drawings/_rels/drawing1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zvawOkj2ZpJaElbe7viv1SV24CTjrFm5lg52HHXMy64=</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gVciYapsdVcb/3vca7023f1on0v1Jjtk4gOwMSootNY=</DigestValue>
      </Reference>
      <Reference URI="/xl/drawings/_rels/drawing2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NSTTk6kQWt/RGMszLApAVNNR/6wNRYWGv9iRMEbSBqo=</DigestValue>
      </Reference>
      <Reference URI="/xl/drawings/_rels/drawing2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zqAfp9wHYCEfT5gXemvbnFgp6nqmGqPiDk1Rv20Hkos=</DigestValue>
      </Reference>
      <Reference URI="/xl/drawings/_rels/drawing2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+8NcPgx6UJzLmiZ0Tmu8KgrmS+02VfYH447Mo2e+S8I=</DigestValue>
      </Reference>
      <Reference URI="/xl/drawings/_rels/drawing2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TJIw6QfZZMfEGNWky61hGp3Qn8KZUwHAzF2g7Li6i2U=</DigestValue>
      </Reference>
      <Reference URI="/xl/drawings/_rels/drawing2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Mmhzr4Qz3QZtnG5NGlsykDiBt2vy9d5CHd6GWKQtwgE=</DigestValue>
      </Reference>
      <Reference URI="/xl/drawings/_rels/drawing2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TJIw6QfZZMfEGNWky61hGp3Qn8KZUwHAzF2g7Li6i2U=</DigestValue>
      </Reference>
      <Reference URI="/xl/drawings/_rels/drawing2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TJIw6QfZZMfEGNWky61hGp3Qn8KZUwHAzF2g7Li6i2U=</DigestValue>
      </Reference>
      <Reference URI="/xl/drawings/_rels/drawing2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TJIw6QfZZMfEGNWky61hGp3Qn8KZUwHAzF2g7Li6i2U=</DigestValue>
      </Reference>
      <Reference URI="/xl/drawings/_rels/drawing2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+Q/h8VCm4CgFvcfza0TUiIPwPlFvJtd3nZDaT07ikzE=</DigestValue>
      </Reference>
      <Reference URI="/xl/drawings/_rels/drawing2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+Q/h8VCm4CgFvcfza0TUiIPwPlFvJtd3nZDaT07ikzE=</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gVciYapsdVcb/3vca7023f1on0v1Jjtk4gOwMSootNY=</DigestValue>
      </Reference>
      <Reference URI="/xl/drawings/_rels/drawing3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d3VnvtwwEvEJqnTobmPGMqD4McftJROmMCOZ2E0Ko4I=</DigestValue>
      </Reference>
      <Reference URI="/xl/drawings/_rels/drawing3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wc6TJy2tfY5hrwAu7o6UwH8WSCIqICFwsMhif9Dkcbo=</DigestValue>
      </Reference>
      <Reference URI="/xl/drawings/_rels/drawing3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d3VnvtwwEvEJqnTobmPGMqD4McftJROmMCOZ2E0Ko4I=</DigestValue>
      </Reference>
      <Reference URI="/xl/drawings/_rels/drawing3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7v+EG3jcQN2cJWq5a1bSgZNozIXIYX64gmWNNy/IOPs=</DigestValue>
      </Reference>
      <Reference URI="/xl/drawings/_rels/drawing3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NSTTk6kQWt/RGMszLApAVNNR/6wNRYWGv9iRMEbSBqo=</DigestValue>
      </Reference>
      <Reference URI="/xl/drawings/_rels/drawing3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7v+EG3jcQN2cJWq5a1bSgZNozIXIYX64gmWNNy/IOPs=</DigestValue>
      </Reference>
      <Reference URI="/xl/drawings/_rels/drawing3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7v+EG3jcQN2cJWq5a1bSgZNozIXIYX64gmWNNy/IOPs=</DigestValue>
      </Reference>
      <Reference URI="/xl/drawings/_rels/drawing3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7v+EG3jcQN2cJWq5a1bSgZNozIXIYX64gmWNNy/IOPs=</DigestValue>
      </Reference>
      <Reference URI="/xl/drawings/_rels/drawing3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7v+EG3jcQN2cJWq5a1bSgZNozIXIYX64gmWNNy/IOPs=</DigestValue>
      </Reference>
      <Reference URI="/xl/drawings/_rels/drawing3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7v+EG3jcQN2cJWq5a1bSgZNozIXIYX64gmWNNy/IOPs=</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gVciYapsdVcb/3vca7023f1on0v1Jjtk4gOwMSootNY=</DigestValue>
      </Reference>
      <Reference URI="/xl/drawings/_rels/drawing4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7v+EG3jcQN2cJWq5a1bSgZNozIXIYX64gmWNNy/IOPs=</DigestValue>
      </Reference>
      <Reference URI="/xl/drawings/_rels/drawing4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7v+EG3jcQN2cJWq5a1bSgZNozIXIYX64gmWNNy/IOPs=</DigestValue>
      </Reference>
      <Reference URI="/xl/drawings/_rels/drawing4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7v+EG3jcQN2cJWq5a1bSgZNozIXIYX64gmWNNy/IOPs=</DigestValue>
      </Reference>
      <Reference URI="/xl/drawings/_rels/drawing4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7v+EG3jcQN2cJWq5a1bSgZNozIXIYX64gmWNNy/IOPs=</DigestValue>
      </Reference>
      <Reference URI="/xl/drawings/_rels/drawing4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LbBMDswW0za28IC6L6qHyaQMdkAszVUaOtzdRFceP/8=</DigestValue>
      </Reference>
      <Reference URI="/xl/drawings/_rels/drawing4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mMsf9o7c17KyFsrqffnNfq6wsH5KJk+ZjQgTZOodVz8=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gVciYapsdVcb/3vca7023f1on0v1Jjtk4gOwMSootNY=</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gVciYapsdVcb/3vca7023f1on0v1Jjtk4gOwMSootNY=</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gVciYapsdVcb/3vca7023f1on0v1Jjtk4gOwMSootNY=</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tkctCqWe3V5REYbsakv7S3DIYq7qdnFLeXKuojRxMGM=</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tkctCqWe3V5REYbsakv7S3DIYq7qdnFLeXKuojRxMGM=</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cMVZ7P+Vhr5EwWtY3CrasC/ChNKkC/Gk37Pr0tI7t7g=</DigestValue>
      </Reference>
      <Reference URI="/xl/drawings/drawing10.xml?ContentType=application/vnd.openxmlformats-officedocument.drawing+xml">
        <DigestMethod Algorithm="http://www.w3.org/2001/04/xmlenc#sha256"/>
        <DigestValue>V1Ai40lML2xWuHf1AsYUGLraMtBfH7F273zXXs7FsM8=</DigestValue>
      </Reference>
      <Reference URI="/xl/drawings/drawing11.xml?ContentType=application/vnd.openxmlformats-officedocument.drawing+xml">
        <DigestMethod Algorithm="http://www.w3.org/2001/04/xmlenc#sha256"/>
        <DigestValue>bsLhrw89zI6q1bZcK1cVTJSy5OgCX7nBo1Bg2rOZsgw=</DigestValue>
      </Reference>
      <Reference URI="/xl/drawings/drawing12.xml?ContentType=application/vnd.openxmlformats-officedocument.drawing+xml">
        <DigestMethod Algorithm="http://www.w3.org/2001/04/xmlenc#sha256"/>
        <DigestValue>GVBkNSiRDF2fy8POcDw2yDs6Svf8pd6COGTVq0USCho=</DigestValue>
      </Reference>
      <Reference URI="/xl/drawings/drawing13.xml?ContentType=application/vnd.openxmlformats-officedocument.drawing+xml">
        <DigestMethod Algorithm="http://www.w3.org/2001/04/xmlenc#sha256"/>
        <DigestValue>sTR+n7YSi/UmZaAm8tDnOy+z3nVjjsjWHEt4zAVcnUw=</DigestValue>
      </Reference>
      <Reference URI="/xl/drawings/drawing14.xml?ContentType=application/vnd.openxmlformats-officedocument.drawing+xml">
        <DigestMethod Algorithm="http://www.w3.org/2001/04/xmlenc#sha256"/>
        <DigestValue>GaIs1otGX+JRjI1iLyGIl6Y+jxpaPfDz0owLiq13c1g=</DigestValue>
      </Reference>
      <Reference URI="/xl/drawings/drawing15.xml?ContentType=application/vnd.openxmlformats-officedocument.drawing+xml">
        <DigestMethod Algorithm="http://www.w3.org/2001/04/xmlenc#sha256"/>
        <DigestValue>PdtTnDwqdFPKc0M8GGxMXF1oUZssj5hcm1DNP+AWpuU=</DigestValue>
      </Reference>
      <Reference URI="/xl/drawings/drawing16.xml?ContentType=application/vnd.openxmlformats-officedocument.drawing+xml">
        <DigestMethod Algorithm="http://www.w3.org/2001/04/xmlenc#sha256"/>
        <DigestValue>3lRFPpydFS8aCGlplxGIuXUvIQVS2xQYt76MXibxz8U=</DigestValue>
      </Reference>
      <Reference URI="/xl/drawings/drawing17.xml?ContentType=application/vnd.openxmlformats-officedocument.drawing+xml">
        <DigestMethod Algorithm="http://www.w3.org/2001/04/xmlenc#sha256"/>
        <DigestValue>8Ut7ddY1fcrdel8Ub5HCO7RISSEXNWfrrP4cfXSkR3w=</DigestValue>
      </Reference>
      <Reference URI="/xl/drawings/drawing18.xml?ContentType=application/vnd.openxmlformats-officedocument.drawing+xml">
        <DigestMethod Algorithm="http://www.w3.org/2001/04/xmlenc#sha256"/>
        <DigestValue>233m2HjFsZT58f6iQsa2A77HOzHyEj/m9oHpzv3vU9c=</DigestValue>
      </Reference>
      <Reference URI="/xl/drawings/drawing19.xml?ContentType=application/vnd.openxmlformats-officedocument.drawing+xml">
        <DigestMethod Algorithm="http://www.w3.org/2001/04/xmlenc#sha256"/>
        <DigestValue>h95iOAn8DUfDHTBaqVQqcMLzLopVJr687L4AMPbvGhw=</DigestValue>
      </Reference>
      <Reference URI="/xl/drawings/drawing2.xml?ContentType=application/vnd.openxmlformats-officedocument.drawing+xml">
        <DigestMethod Algorithm="http://www.w3.org/2001/04/xmlenc#sha256"/>
        <DigestValue>+nBsZHyk2dD0vKOoNY+Dgx464qExAXPCzNTkvoNoyXs=</DigestValue>
      </Reference>
      <Reference URI="/xl/drawings/drawing20.xml?ContentType=application/vnd.openxmlformats-officedocument.drawing+xml">
        <DigestMethod Algorithm="http://www.w3.org/2001/04/xmlenc#sha256"/>
        <DigestValue>KH5d8OReCSYXGw28aRuJOfz02wNqUnNtlYSNmbb42/U=</DigestValue>
      </Reference>
      <Reference URI="/xl/drawings/drawing21.xml?ContentType=application/vnd.openxmlformats-officedocument.drawing+xml">
        <DigestMethod Algorithm="http://www.w3.org/2001/04/xmlenc#sha256"/>
        <DigestValue>TglnLI5Nl9zRggAYMLmCAsFhYLQTQuL3P9sq31ikIs4=</DigestValue>
      </Reference>
      <Reference URI="/xl/drawings/drawing22.xml?ContentType=application/vnd.openxmlformats-officedocument.drawing+xml">
        <DigestMethod Algorithm="http://www.w3.org/2001/04/xmlenc#sha256"/>
        <DigestValue>7One5R7jJHwLnktwk+LQKcXh78caWTzxs6ehtMSfUTw=</DigestValue>
      </Reference>
      <Reference URI="/xl/drawings/drawing23.xml?ContentType=application/vnd.openxmlformats-officedocument.drawing+xml">
        <DigestMethod Algorithm="http://www.w3.org/2001/04/xmlenc#sha256"/>
        <DigestValue>iCbRx3rh4Si5kpLr4AEEdaBEuOLPIGyTGwI37KmX0zg=</DigestValue>
      </Reference>
      <Reference URI="/xl/drawings/drawing24.xml?ContentType=application/vnd.openxmlformats-officedocument.drawing+xml">
        <DigestMethod Algorithm="http://www.w3.org/2001/04/xmlenc#sha256"/>
        <DigestValue>ihA7aXGBUme9qRdNDdTAGXffbjgMCYNDLafqw1DXY+0=</DigestValue>
      </Reference>
      <Reference URI="/xl/drawings/drawing25.xml?ContentType=application/vnd.openxmlformats-officedocument.drawing+xml">
        <DigestMethod Algorithm="http://www.w3.org/2001/04/xmlenc#sha256"/>
        <DigestValue>lpwSrQDV/mxdvtzTAW44O63wc6HTJyjdAREnVUGj2Fw=</DigestValue>
      </Reference>
      <Reference URI="/xl/drawings/drawing26.xml?ContentType=application/vnd.openxmlformats-officedocument.drawing+xml">
        <DigestMethod Algorithm="http://www.w3.org/2001/04/xmlenc#sha256"/>
        <DigestValue>IzQ+9XhZ/GThAFANqAh3I8Hg+Jfres3HIFhP9wAiH2Y=</DigestValue>
      </Reference>
      <Reference URI="/xl/drawings/drawing27.xml?ContentType=application/vnd.openxmlformats-officedocument.drawing+xml">
        <DigestMethod Algorithm="http://www.w3.org/2001/04/xmlenc#sha256"/>
        <DigestValue>3y412YAoJGM+xoT9VxUmbEWIPuIT9W0OdqzRK9iAZyU=</DigestValue>
      </Reference>
      <Reference URI="/xl/drawings/drawing28.xml?ContentType=application/vnd.openxmlformats-officedocument.drawing+xml">
        <DigestMethod Algorithm="http://www.w3.org/2001/04/xmlenc#sha256"/>
        <DigestValue>yG1BE8+Tod2hfOnTBB5V3Z340b94D7EqMqe7k5BegGk=</DigestValue>
      </Reference>
      <Reference URI="/xl/drawings/drawing29.xml?ContentType=application/vnd.openxmlformats-officedocument.drawing+xml">
        <DigestMethod Algorithm="http://www.w3.org/2001/04/xmlenc#sha256"/>
        <DigestValue>3e4DGzvWuGs+2Dqy64I0Jxn5tMYKcV3R3FlaZV2Ym9g=</DigestValue>
      </Reference>
      <Reference URI="/xl/drawings/drawing3.xml?ContentType=application/vnd.openxmlformats-officedocument.drawing+xml">
        <DigestMethod Algorithm="http://www.w3.org/2001/04/xmlenc#sha256"/>
        <DigestValue>s16N8K6WO7+7ku+OCk4RV5m81feRTJkwnuCo/+bIE4A=</DigestValue>
      </Reference>
      <Reference URI="/xl/drawings/drawing30.xml?ContentType=application/vnd.openxmlformats-officedocument.drawing+xml">
        <DigestMethod Algorithm="http://www.w3.org/2001/04/xmlenc#sha256"/>
        <DigestValue>RHVS7gDLwnm+uYLFE5C8Qru5lnpl+NPNrmvTcEHCsaA=</DigestValue>
      </Reference>
      <Reference URI="/xl/drawings/drawing31.xml?ContentType=application/vnd.openxmlformats-officedocument.drawing+xml">
        <DigestMethod Algorithm="http://www.w3.org/2001/04/xmlenc#sha256"/>
        <DigestValue>eme9oHIGYtgPxjIL+Vpscjxb6WZy+Gorl/sypijtxNc=</DigestValue>
      </Reference>
      <Reference URI="/xl/drawings/drawing32.xml?ContentType=application/vnd.openxmlformats-officedocument.drawing+xml">
        <DigestMethod Algorithm="http://www.w3.org/2001/04/xmlenc#sha256"/>
        <DigestValue>kLJdgyA9LgKsNRrg/vP6i4AyLuaNQMCmEUBZ7nECGwo=</DigestValue>
      </Reference>
      <Reference URI="/xl/drawings/drawing33.xml?ContentType=application/vnd.openxmlformats-officedocument.drawing+xml">
        <DigestMethod Algorithm="http://www.w3.org/2001/04/xmlenc#sha256"/>
        <DigestValue>ZLaIQbsedyY/vhseRlux3QDnmjO2BBPuBb1avdO8z34=</DigestValue>
      </Reference>
      <Reference URI="/xl/drawings/drawing34.xml?ContentType=application/vnd.openxmlformats-officedocument.drawing+xml">
        <DigestMethod Algorithm="http://www.w3.org/2001/04/xmlenc#sha256"/>
        <DigestValue>ZiDuMUZqjQj32jJMeEKkbkSLuC/DMGO9d8EFfNHYQvw=</DigestValue>
      </Reference>
      <Reference URI="/xl/drawings/drawing35.xml?ContentType=application/vnd.openxmlformats-officedocument.drawing+xml">
        <DigestMethod Algorithm="http://www.w3.org/2001/04/xmlenc#sha256"/>
        <DigestValue>BEwkUZBBj/dSkbGgmO4mnCp8lsLzD0Jkhpz7iOxSSI4=</DigestValue>
      </Reference>
      <Reference URI="/xl/drawings/drawing36.xml?ContentType=application/vnd.openxmlformats-officedocument.drawing+xml">
        <DigestMethod Algorithm="http://www.w3.org/2001/04/xmlenc#sha256"/>
        <DigestValue>WArVlwxi1phKYXHGMMpd9wJQGdBA5hlmROaeKkyoBXs=</DigestValue>
      </Reference>
      <Reference URI="/xl/drawings/drawing37.xml?ContentType=application/vnd.openxmlformats-officedocument.drawing+xml">
        <DigestMethod Algorithm="http://www.w3.org/2001/04/xmlenc#sha256"/>
        <DigestValue>fmsMibMM7Hin5fbzPlf6zcly/7hhohd7CMxZjJd5l84=</DigestValue>
      </Reference>
      <Reference URI="/xl/drawings/drawing38.xml?ContentType=application/vnd.openxmlformats-officedocument.drawing+xml">
        <DigestMethod Algorithm="http://www.w3.org/2001/04/xmlenc#sha256"/>
        <DigestValue>iIiW3lmpg++gCcxGmnTnVP+DZv/Vf9iDaZR0AlzYTlM=</DigestValue>
      </Reference>
      <Reference URI="/xl/drawings/drawing39.xml?ContentType=application/vnd.openxmlformats-officedocument.drawing+xml">
        <DigestMethod Algorithm="http://www.w3.org/2001/04/xmlenc#sha256"/>
        <DigestValue>E7xRZp1420i1HDCljWnWC3Uq8Tv3l4Patg0ZTlUBYDI=</DigestValue>
      </Reference>
      <Reference URI="/xl/drawings/drawing4.xml?ContentType=application/vnd.openxmlformats-officedocument.drawing+xml">
        <DigestMethod Algorithm="http://www.w3.org/2001/04/xmlenc#sha256"/>
        <DigestValue>sQZXvy3ScPotBSgtmkLnOgpsp+1oIH2RoeIK0OYumj0=</DigestValue>
      </Reference>
      <Reference URI="/xl/drawings/drawing40.xml?ContentType=application/vnd.openxmlformats-officedocument.drawing+xml">
        <DigestMethod Algorithm="http://www.w3.org/2001/04/xmlenc#sha256"/>
        <DigestValue>2/6e3kXY5/9bY6QB/aliEMoH1XKwVwXuI6b2DPLGzf0=</DigestValue>
      </Reference>
      <Reference URI="/xl/drawings/drawing41.xml?ContentType=application/vnd.openxmlformats-officedocument.drawing+xml">
        <DigestMethod Algorithm="http://www.w3.org/2001/04/xmlenc#sha256"/>
        <DigestValue>uKdWWUseiQbWvchYbpau/dlyozTtiiLGIYOOsUivogU=</DigestValue>
      </Reference>
      <Reference URI="/xl/drawings/drawing42.xml?ContentType=application/vnd.openxmlformats-officedocument.drawing+xml">
        <DigestMethod Algorithm="http://www.w3.org/2001/04/xmlenc#sha256"/>
        <DigestValue>ZZbDpuUAkClOSqC7oP6A2lehQtyvgFQS/F8vjXGER04=</DigestValue>
      </Reference>
      <Reference URI="/xl/drawings/drawing43.xml?ContentType=application/vnd.openxmlformats-officedocument.drawing+xml">
        <DigestMethod Algorithm="http://www.w3.org/2001/04/xmlenc#sha256"/>
        <DigestValue>/GWqNkEdrGbio1mMElaQNmSsDx3OEZUb8DXPa56qvrA=</DigestValue>
      </Reference>
      <Reference URI="/xl/drawings/drawing44.xml?ContentType=application/vnd.openxmlformats-officedocument.drawing+xml">
        <DigestMethod Algorithm="http://www.w3.org/2001/04/xmlenc#sha256"/>
        <DigestValue>W8fbwmq4RX2ZW3t5qE0Y4EFLAqZTD/fyKYsRLVe8gwc=</DigestValue>
      </Reference>
      <Reference URI="/xl/drawings/drawing45.xml?ContentType=application/vnd.openxmlformats-officedocument.drawing+xml">
        <DigestMethod Algorithm="http://www.w3.org/2001/04/xmlenc#sha256"/>
        <DigestValue>uHC8LcgjJB3+YpzNDKbWe0oLBwzavAoRixoQppO9C3c=</DigestValue>
      </Reference>
      <Reference URI="/xl/drawings/drawing5.xml?ContentType=application/vnd.openxmlformats-officedocument.drawing+xml">
        <DigestMethod Algorithm="http://www.w3.org/2001/04/xmlenc#sha256"/>
        <DigestValue>l/dujer+i2hoR1kssLUrXc5SpaHqxTd0MPN4WSR2CLM=</DigestValue>
      </Reference>
      <Reference URI="/xl/drawings/drawing6.xml?ContentType=application/vnd.openxmlformats-officedocument.drawing+xml">
        <DigestMethod Algorithm="http://www.w3.org/2001/04/xmlenc#sha256"/>
        <DigestValue>WDbXej38unFlSFoisgHQddbXRyYawJ1atJfqwxwtZbM=</DigestValue>
      </Reference>
      <Reference URI="/xl/drawings/drawing7.xml?ContentType=application/vnd.openxmlformats-officedocument.drawing+xml">
        <DigestMethod Algorithm="http://www.w3.org/2001/04/xmlenc#sha256"/>
        <DigestValue>Rp0f4x2n+j632UldaJy68GUJwxS/qDj0u+hu9diuTZs=</DigestValue>
      </Reference>
      <Reference URI="/xl/drawings/drawing8.xml?ContentType=application/vnd.openxmlformats-officedocument.drawing+xml">
        <DigestMethod Algorithm="http://www.w3.org/2001/04/xmlenc#sha256"/>
        <DigestValue>xvb1P0ooAodzTHFEDwyGOI/+hsimfhgKqrm1LNezDKw=</DigestValue>
      </Reference>
      <Reference URI="/xl/drawings/drawing9.xml?ContentType=application/vnd.openxmlformats-officedocument.drawing+xml">
        <DigestMethod Algorithm="http://www.w3.org/2001/04/xmlenc#sha256"/>
        <DigestValue>ouC1/G0JAr7esypDTbS4UAATnfX2Z8jYzMEAklfeoXU=</DigestValue>
      </Reference>
      <Reference URI="/xl/drawings/vmlDrawing1.vml?ContentType=application/vnd.openxmlformats-officedocument.vmlDrawing">
        <DigestMethod Algorithm="http://www.w3.org/2001/04/xmlenc#sha256"/>
        <DigestValue>85H46DvynHB4V13cb/30WABwRUQ1CM7vcjTWkYhtKlI=</DigestValue>
      </Reference>
      <Reference URI="/xl/drawings/vmlDrawing2.vml?ContentType=application/vnd.openxmlformats-officedocument.vmlDrawing">
        <DigestMethod Algorithm="http://www.w3.org/2001/04/xmlenc#sha256"/>
        <DigestValue>KKTkMwp9dahFa1JqpeiNNTcuOyukLPN8V2EaJJyQmSk=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Yy4gGkFcLaOGlKt5Jwi4wYfs7lKVb6rUvMN/Rib0Rv8=</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rYtFcqMRsF6WGDUHGuAdyTlf8v6A0d8uodyXlK9mpzU=</DigestValue>
      </Reference>
      <Reference URI="/xl/externalLinks/externalLink1.xml?ContentType=application/vnd.openxmlformats-officedocument.spreadsheetml.externalLink+xml">
        <DigestMethod Algorithm="http://www.w3.org/2001/04/xmlenc#sha256"/>
        <DigestValue>IB1cfwh8b1P4PD9CCTaAORIRYBjKCXUTDhFchYV7AQI=</DigestValue>
      </Reference>
      <Reference URI="/xl/externalLinks/externalLink2.xml?ContentType=application/vnd.openxmlformats-officedocument.spreadsheetml.externalLink+xml">
        <DigestMethod Algorithm="http://www.w3.org/2001/04/xmlenc#sha256"/>
        <DigestValue>mnNUWrj+WKydxNfWF/XTwDV7zyZnOc6gLjMb6qqkEgA=</DigestValue>
      </Reference>
      <Reference URI="/xl/media/image1.png?ContentType=image/png">
        <DigestMethod Algorithm="http://www.w3.org/2001/04/xmlenc#sha256"/>
        <DigestValue>u7JZ1SWsngxmlbRGgP1pp0R1ch57AfJ3A6JeXxvAnQA=</DigestValue>
      </Reference>
      <Reference URI="/xl/media/image10.png?ContentType=image/png">
        <DigestMethod Algorithm="http://www.w3.org/2001/04/xmlenc#sha256"/>
        <DigestValue>7zXq68jrFoeU7TH/7EZr80ISkfulcUQCz0YdpviKqHg=</DigestValue>
      </Reference>
      <Reference URI="/xl/media/image11.png?ContentType=image/png">
        <DigestMethod Algorithm="http://www.w3.org/2001/04/xmlenc#sha256"/>
        <DigestValue>LNvHJ+2NGYXUNdHODwJXlcPnUt9SrD3q9NBnGHk3840=</DigestValue>
      </Reference>
      <Reference URI="/xl/media/image12.png?ContentType=image/png">
        <DigestMethod Algorithm="http://www.w3.org/2001/04/xmlenc#sha256"/>
        <DigestValue>INO1zgbizaLxwmGKkWLFWwt5PLNXyYlQ4sFGd3g273Y=</DigestValue>
      </Reference>
      <Reference URI="/xl/media/image13.png?ContentType=image/png">
        <DigestMethod Algorithm="http://www.w3.org/2001/04/xmlenc#sha256"/>
        <DigestValue>16fvKmNb3+9iToER187I6VHXR0rnU4whVmCEvpHskXs=</DigestValue>
      </Reference>
      <Reference URI="/xl/media/image14.png?ContentType=image/png">
        <DigestMethod Algorithm="http://www.w3.org/2001/04/xmlenc#sha256"/>
        <DigestValue>mKlLN78NRBPXCnPzNaezYA05aV+mYeXgkdY3LU/vyJ4=</DigestValue>
      </Reference>
      <Reference URI="/xl/media/image15.png?ContentType=image/png">
        <DigestMethod Algorithm="http://www.w3.org/2001/04/xmlenc#sha256"/>
        <DigestValue>t/YL0xbRdPc6mvT040Al+Vm9hqfHfggHpmxrgrUbIKg=</DigestValue>
      </Reference>
      <Reference URI="/xl/media/image16.png?ContentType=image/png">
        <DigestMethod Algorithm="http://www.w3.org/2001/04/xmlenc#sha256"/>
        <DigestValue>ERJJs8evz0RspZZXlVuVkiYZ+A5M+MM2cyDbMCIHg5Q=</DigestValue>
      </Reference>
      <Reference URI="/xl/media/image17.png?ContentType=image/png">
        <DigestMethod Algorithm="http://www.w3.org/2001/04/xmlenc#sha256"/>
        <DigestValue>QZvjuJcib25SCEA+YFweiaqg5twQltZ+/LNxA0IHGh8=</DigestValue>
      </Reference>
      <Reference URI="/xl/media/image18.png?ContentType=image/png">
        <DigestMethod Algorithm="http://www.w3.org/2001/04/xmlenc#sha256"/>
        <DigestValue>WEql+MJy8luRXrjWmD5Hyow1UPiA94DsoSQXLsFSJic=</DigestValue>
      </Reference>
      <Reference URI="/xl/media/image19.png?ContentType=image/png">
        <DigestMethod Algorithm="http://www.w3.org/2001/04/xmlenc#sha256"/>
        <DigestValue>ZwDpoQFJElcdFuM2+LMB2bIlT7x5jo7lnoUmEgtkb9Y=</DigestValue>
      </Reference>
      <Reference URI="/xl/media/image2.emf?ContentType=image/x-emf">
        <DigestMethod Algorithm="http://www.w3.org/2001/04/xmlenc#sha256"/>
        <DigestValue>qG/swiWCm7OJ1RfTXD1t/yVyyygTCpRckGzqWAEYgts=</DigestValue>
      </Reference>
      <Reference URI="/xl/media/image20.png?ContentType=image/png">
        <DigestMethod Algorithm="http://www.w3.org/2001/04/xmlenc#sha256"/>
        <DigestValue>xJzRWh8iFBZuRAh5Awk+TAwbTDjIc4mOlCVYUrCpEQY=</DigestValue>
      </Reference>
      <Reference URI="/xl/media/image3.emf?ContentType=image/x-emf">
        <DigestMethod Algorithm="http://www.w3.org/2001/04/xmlenc#sha256"/>
        <DigestValue>3bevyLVi1WUZHdGfzr9XWhoJE3U6fXObGmwEvqI/tNY=</DigestValue>
      </Reference>
      <Reference URI="/xl/media/image4.emf?ContentType=image/x-emf">
        <DigestMethod Algorithm="http://www.w3.org/2001/04/xmlenc#sha256"/>
        <DigestValue>Uf0WWla8IxBNmydUeT/SThyZrqxGAB1k5nikQbZqLns=</DigestValue>
      </Reference>
      <Reference URI="/xl/media/image5.emf?ContentType=image/x-emf">
        <DigestMethod Algorithm="http://www.w3.org/2001/04/xmlenc#sha256"/>
        <DigestValue>ki98uzJ/P2OF7yktocB7spD3Jsqy5wobgw7qk8zCY8c=</DigestValue>
      </Reference>
      <Reference URI="/xl/media/image6.png?ContentType=image/png">
        <DigestMethod Algorithm="http://www.w3.org/2001/04/xmlenc#sha256"/>
        <DigestValue>FnVpm4hf7SeplWzd1Pk9+TonrwBd94QjpvoPtzwtW4c=</DigestValue>
      </Reference>
      <Reference URI="/xl/media/image7.png?ContentType=image/png">
        <DigestMethod Algorithm="http://www.w3.org/2001/04/xmlenc#sha256"/>
        <DigestValue>rHqKhoMtQcKB1PHwOpUxnRoHPyuGzFla8hHznojUiPY=</DigestValue>
      </Reference>
      <Reference URI="/xl/media/image8.png?ContentType=image/png">
        <DigestMethod Algorithm="http://www.w3.org/2001/04/xmlenc#sha256"/>
        <DigestValue>0m7ZT+sMxxVdPcgnoRI1KWL1XCkL+27dVWxYIUf1VlU=</DigestValue>
      </Reference>
      <Reference URI="/xl/media/image9.png?ContentType=image/png">
        <DigestMethod Algorithm="http://www.w3.org/2001/04/xmlenc#sha256"/>
        <DigestValue>lt0zaw0g1CdzuRO9IF5mBRWtDdxPFUHoJPj+vKy2SyQ=</DigestValue>
      </Reference>
      <Reference URI="/xl/printerSettings/printerSettings1.bin?ContentType=application/vnd.openxmlformats-officedocument.spreadsheetml.printerSettings">
        <DigestMethod Algorithm="http://www.w3.org/2001/04/xmlenc#sha256"/>
        <DigestValue>GtCdW3v0TFhs1Yv0gAKzf27co9ebFKQqbkVtCGqLSc0=</DigestValue>
      </Reference>
      <Reference URI="/xl/printerSettings/printerSettings10.bin?ContentType=application/vnd.openxmlformats-officedocument.spreadsheetml.printerSettings">
        <DigestMethod Algorithm="http://www.w3.org/2001/04/xmlenc#sha256"/>
        <DigestValue>T0HQDyNRWgflzkMhYLS6mzyfQFG68QJGzQ37Bw6IE04=</DigestValue>
      </Reference>
      <Reference URI="/xl/printerSettings/printerSettings11.bin?ContentType=application/vnd.openxmlformats-officedocument.spreadsheetml.printerSettings">
        <DigestMethod Algorithm="http://www.w3.org/2001/04/xmlenc#sha256"/>
        <DigestValue>JRDTexp2Y/F9uBOM93fir/zTiiLBo+Mb9E+iq8ZCBdg=</DigestValue>
      </Reference>
      <Reference URI="/xl/printerSettings/printerSettings12.bin?ContentType=application/vnd.openxmlformats-officedocument.spreadsheetml.printerSettings">
        <DigestMethod Algorithm="http://www.w3.org/2001/04/xmlenc#sha256"/>
        <DigestValue>1ZD/3SvWchlBRKmjp3NTte083UOCHe3U1qpCUSUhuzs=</DigestValue>
      </Reference>
      <Reference URI="/xl/printerSettings/printerSettings13.bin?ContentType=application/vnd.openxmlformats-officedocument.spreadsheetml.printerSettings">
        <DigestMethod Algorithm="http://www.w3.org/2001/04/xmlenc#sha256"/>
        <DigestValue>OfzbXPYgMTTmV8MSMxqrPH7VTknOHAUQioxg/uAUCUs=</DigestValue>
      </Reference>
      <Reference URI="/xl/printerSettings/printerSettings14.bin?ContentType=application/vnd.openxmlformats-officedocument.spreadsheetml.printerSettings">
        <DigestMethod Algorithm="http://www.w3.org/2001/04/xmlenc#sha256"/>
        <DigestValue>OXyYkyn1ClnLI1dqW7kwYfAgphSHPdf1SU/LC5a/PyE=</DigestValue>
      </Reference>
      <Reference URI="/xl/printerSettings/printerSettings15.bin?ContentType=application/vnd.openxmlformats-officedocument.spreadsheetml.printerSettings">
        <DigestMethod Algorithm="http://www.w3.org/2001/04/xmlenc#sha256"/>
        <DigestValue>OfzbXPYgMTTmV8MSMxqrPH7VTknOHAUQioxg/uAUCUs=</DigestValue>
      </Reference>
      <Reference URI="/xl/printerSettings/printerSettings16.bin?ContentType=application/vnd.openxmlformats-officedocument.spreadsheetml.printerSettings">
        <DigestMethod Algorithm="http://www.w3.org/2001/04/xmlenc#sha256"/>
        <DigestValue>OfzbXPYgMTTmV8MSMxqrPH7VTknOHAUQioxg/uAUCUs=</DigestValue>
      </Reference>
      <Reference URI="/xl/printerSettings/printerSettings17.bin?ContentType=application/vnd.openxmlformats-officedocument.spreadsheetml.printerSettings">
        <DigestMethod Algorithm="http://www.w3.org/2001/04/xmlenc#sha256"/>
        <DigestValue>JIeO8n7uTVn7vh13Yv8uaPIuQOVK9WJJ7u5H4M49k4g=</DigestValue>
      </Reference>
      <Reference URI="/xl/printerSettings/printerSettings18.bin?ContentType=application/vnd.openxmlformats-officedocument.spreadsheetml.printerSettings">
        <DigestMethod Algorithm="http://www.w3.org/2001/04/xmlenc#sha256"/>
        <DigestValue>tcYgVV0wKhlZhdZeHv3mwNefZQbF8gyd+2F4KidM9zQ=</DigestValue>
      </Reference>
      <Reference URI="/xl/printerSettings/printerSettings19.bin?ContentType=application/vnd.openxmlformats-officedocument.spreadsheetml.printerSettings">
        <DigestMethod Algorithm="http://www.w3.org/2001/04/xmlenc#sha256"/>
        <DigestValue>OfzbXPYgMTTmV8MSMxqrPH7VTknOHAUQioxg/uAUCUs=</DigestValue>
      </Reference>
      <Reference URI="/xl/printerSettings/printerSettings2.bin?ContentType=application/vnd.openxmlformats-officedocument.spreadsheetml.printerSettings">
        <DigestMethod Algorithm="http://www.w3.org/2001/04/xmlenc#sha256"/>
        <DigestValue>1ZD/3SvWchlBRKmjp3NTte083UOCHe3U1qpCUSUhuzs=</DigestValue>
      </Reference>
      <Reference URI="/xl/printerSettings/printerSettings20.bin?ContentType=application/vnd.openxmlformats-officedocument.spreadsheetml.printerSettings">
        <DigestMethod Algorithm="http://www.w3.org/2001/04/xmlenc#sha256"/>
        <DigestValue>OfzbXPYgMTTmV8MSMxqrPH7VTknOHAUQioxg/uAUCUs=</DigestValue>
      </Reference>
      <Reference URI="/xl/printerSettings/printerSettings21.bin?ContentType=application/vnd.openxmlformats-officedocument.spreadsheetml.printerSettings">
        <DigestMethod Algorithm="http://www.w3.org/2001/04/xmlenc#sha256"/>
        <DigestValue>OfzbXPYgMTTmV8MSMxqrPH7VTknOHAUQioxg/uAUCUs=</DigestValue>
      </Reference>
      <Reference URI="/xl/printerSettings/printerSettings22.bin?ContentType=application/vnd.openxmlformats-officedocument.spreadsheetml.printerSettings">
        <DigestMethod Algorithm="http://www.w3.org/2001/04/xmlenc#sha256"/>
        <DigestValue>YUU8I/D9zsOO5h3RG+Hwa7fEjOvEWdtnyXhOHGHMmvs=</DigestValue>
      </Reference>
      <Reference URI="/xl/printerSettings/printerSettings23.bin?ContentType=application/vnd.openxmlformats-officedocument.spreadsheetml.printerSettings">
        <DigestMethod Algorithm="http://www.w3.org/2001/04/xmlenc#sha256"/>
        <DigestValue>Sf+JfBSZYKcstiIhRjUwhklF0MhPzO7Ogm8WPr6pXf0=</DigestValue>
      </Reference>
      <Reference URI="/xl/printerSettings/printerSettings24.bin?ContentType=application/vnd.openxmlformats-officedocument.spreadsheetml.printerSettings">
        <DigestMethod Algorithm="http://www.w3.org/2001/04/xmlenc#sha256"/>
        <DigestValue>YUU8I/D9zsOO5h3RG+Hwa7fEjOvEWdtnyXhOHGHMmvs=</DigestValue>
      </Reference>
      <Reference URI="/xl/printerSettings/printerSettings25.bin?ContentType=application/vnd.openxmlformats-officedocument.spreadsheetml.printerSettings">
        <DigestMethod Algorithm="http://www.w3.org/2001/04/xmlenc#sha256"/>
        <DigestValue>YUU8I/D9zsOO5h3RG+Hwa7fEjOvEWdtnyXhOHGHMmvs=</DigestValue>
      </Reference>
      <Reference URI="/xl/printerSettings/printerSettings26.bin?ContentType=application/vnd.openxmlformats-officedocument.spreadsheetml.printerSettings">
        <DigestMethod Algorithm="http://www.w3.org/2001/04/xmlenc#sha256"/>
        <DigestValue>YUU8I/D9zsOO5h3RG+Hwa7fEjOvEWdtnyXhOHGHMmvs=</DigestValue>
      </Reference>
      <Reference URI="/xl/printerSettings/printerSettings27.bin?ContentType=application/vnd.openxmlformats-officedocument.spreadsheetml.printerSettings">
        <DigestMethod Algorithm="http://www.w3.org/2001/04/xmlenc#sha256"/>
        <DigestValue>YUU8I/D9zsOO5h3RG+Hwa7fEjOvEWdtnyXhOHGHMmvs=</DigestValue>
      </Reference>
      <Reference URI="/xl/printerSettings/printerSettings28.bin?ContentType=application/vnd.openxmlformats-officedocument.spreadsheetml.printerSettings">
        <DigestMethod Algorithm="http://www.w3.org/2001/04/xmlenc#sha256"/>
        <DigestValue>njuU+q5BW48R6sPHltgYIINtAUOpHefCsFM7/5keIII=</DigestValue>
      </Reference>
      <Reference URI="/xl/printerSettings/printerSettings29.bin?ContentType=application/vnd.openxmlformats-officedocument.spreadsheetml.printerSettings">
        <DigestMethod Algorithm="http://www.w3.org/2001/04/xmlenc#sha256"/>
        <DigestValue>PpWb8se6uMci4CzS/uCc3GReGfZ0Syh2KVy4KkAH208=</DigestValue>
      </Reference>
      <Reference URI="/xl/printerSettings/printerSettings3.bin?ContentType=application/vnd.openxmlformats-officedocument.spreadsheetml.printerSettings">
        <DigestMethod Algorithm="http://www.w3.org/2001/04/xmlenc#sha256"/>
        <DigestValue>jpSEmRd7MZmVvz9ppouF1f5JuGYWcDPTk+GS9OfsdFU=</DigestValue>
      </Reference>
      <Reference URI="/xl/printerSettings/printerSettings30.bin?ContentType=application/vnd.openxmlformats-officedocument.spreadsheetml.printerSettings">
        <DigestMethod Algorithm="http://www.w3.org/2001/04/xmlenc#sha256"/>
        <DigestValue>PpWb8se6uMci4CzS/uCc3GReGfZ0Syh2KVy4KkAH208=</DigestValue>
      </Reference>
      <Reference URI="/xl/printerSettings/printerSettings31.bin?ContentType=application/vnd.openxmlformats-officedocument.spreadsheetml.printerSettings">
        <DigestMethod Algorithm="http://www.w3.org/2001/04/xmlenc#sha256"/>
        <DigestValue>PpWb8se6uMci4CzS/uCc3GReGfZ0Syh2KVy4KkAH208=</DigestValue>
      </Reference>
      <Reference URI="/xl/printerSettings/printerSettings32.bin?ContentType=application/vnd.openxmlformats-officedocument.spreadsheetml.printerSettings">
        <DigestMethod Algorithm="http://www.w3.org/2001/04/xmlenc#sha256"/>
        <DigestValue>PpWb8se6uMci4CzS/uCc3GReGfZ0Syh2KVy4KkAH208=</DigestValue>
      </Reference>
      <Reference URI="/xl/printerSettings/printerSettings33.bin?ContentType=application/vnd.openxmlformats-officedocument.spreadsheetml.printerSettings">
        <DigestMethod Algorithm="http://www.w3.org/2001/04/xmlenc#sha256"/>
        <DigestValue>PpWb8se6uMci4CzS/uCc3GReGfZ0Syh2KVy4KkAH208=</DigestValue>
      </Reference>
      <Reference URI="/xl/printerSettings/printerSettings34.bin?ContentType=application/vnd.openxmlformats-officedocument.spreadsheetml.printerSettings">
        <DigestMethod Algorithm="http://www.w3.org/2001/04/xmlenc#sha256"/>
        <DigestValue>PpWb8se6uMci4CzS/uCc3GReGfZ0Syh2KVy4KkAH208=</DigestValue>
      </Reference>
      <Reference URI="/xl/printerSettings/printerSettings35.bin?ContentType=application/vnd.openxmlformats-officedocument.spreadsheetml.printerSettings">
        <DigestMethod Algorithm="http://www.w3.org/2001/04/xmlenc#sha256"/>
        <DigestValue>PpWb8se6uMci4CzS/uCc3GReGfZ0Syh2KVy4KkAH208=</DigestValue>
      </Reference>
      <Reference URI="/xl/printerSettings/printerSettings36.bin?ContentType=application/vnd.openxmlformats-officedocument.spreadsheetml.printerSettings">
        <DigestMethod Algorithm="http://www.w3.org/2001/04/xmlenc#sha256"/>
        <DigestValue>s6l80irlBTW+uFk7nR5c7WcaDa2jSh3MPBgl0IjaDO0=</DigestValue>
      </Reference>
      <Reference URI="/xl/printerSettings/printerSettings37.bin?ContentType=application/vnd.openxmlformats-officedocument.spreadsheetml.printerSettings">
        <DigestMethod Algorithm="http://www.w3.org/2001/04/xmlenc#sha256"/>
        <DigestValue>PpWb8se6uMci4CzS/uCc3GReGfZ0Syh2KVy4KkAH208=</DigestValue>
      </Reference>
      <Reference URI="/xl/printerSettings/printerSettings38.bin?ContentType=application/vnd.openxmlformats-officedocument.spreadsheetml.printerSettings">
        <DigestMethod Algorithm="http://www.w3.org/2001/04/xmlenc#sha256"/>
        <DigestValue>PpWb8se6uMci4CzS/uCc3GReGfZ0Syh2KVy4KkAH208=</DigestValue>
      </Reference>
      <Reference URI="/xl/printerSettings/printerSettings39.bin?ContentType=application/vnd.openxmlformats-officedocument.spreadsheetml.printerSettings">
        <DigestMethod Algorithm="http://www.w3.org/2001/04/xmlenc#sha256"/>
        <DigestValue>PpWb8se6uMci4CzS/uCc3GReGfZ0Syh2KVy4KkAH208=</DigestValue>
      </Reference>
      <Reference URI="/xl/printerSettings/printerSettings4.bin?ContentType=application/vnd.openxmlformats-officedocument.spreadsheetml.printerSettings">
        <DigestMethod Algorithm="http://www.w3.org/2001/04/xmlenc#sha256"/>
        <DigestValue>/nGsmLUr6O13Ac4gHYHvICCF8GG3xjgXGTNFX2XeDsQ=</DigestValue>
      </Reference>
      <Reference URI="/xl/printerSettings/printerSettings40.bin?ContentType=application/vnd.openxmlformats-officedocument.spreadsheetml.printerSettings">
        <DigestMethod Algorithm="http://www.w3.org/2001/04/xmlenc#sha256"/>
        <DigestValue>PpWb8se6uMci4CzS/uCc3GReGfZ0Syh2KVy4KkAH208=</DigestValue>
      </Reference>
      <Reference URI="/xl/printerSettings/printerSettings41.bin?ContentType=application/vnd.openxmlformats-officedocument.spreadsheetml.printerSettings">
        <DigestMethod Algorithm="http://www.w3.org/2001/04/xmlenc#sha256"/>
        <DigestValue>PpWb8se6uMci4CzS/uCc3GReGfZ0Syh2KVy4KkAH208=</DigestValue>
      </Reference>
      <Reference URI="/xl/printerSettings/printerSettings42.bin?ContentType=application/vnd.openxmlformats-officedocument.spreadsheetml.printerSettings">
        <DigestMethod Algorithm="http://www.w3.org/2001/04/xmlenc#sha256"/>
        <DigestValue>PpWb8se6uMci4CzS/uCc3GReGfZ0Syh2KVy4KkAH208=</DigestValue>
      </Reference>
      <Reference URI="/xl/printerSettings/printerSettings43.bin?ContentType=application/vnd.openxmlformats-officedocument.spreadsheetml.printerSettings">
        <DigestMethod Algorithm="http://www.w3.org/2001/04/xmlenc#sha256"/>
        <DigestValue>PpWb8se6uMci4CzS/uCc3GReGfZ0Syh2KVy4KkAH208=</DigestValue>
      </Reference>
      <Reference URI="/xl/printerSettings/printerSettings44.bin?ContentType=application/vnd.openxmlformats-officedocument.spreadsheetml.printerSettings">
        <DigestMethod Algorithm="http://www.w3.org/2001/04/xmlenc#sha256"/>
        <DigestValue>PpWb8se6uMci4CzS/uCc3GReGfZ0Syh2KVy4KkAH208=</DigestValue>
      </Reference>
      <Reference URI="/xl/printerSettings/printerSettings45.bin?ContentType=application/vnd.openxmlformats-officedocument.spreadsheetml.printerSettings">
        <DigestMethod Algorithm="http://www.w3.org/2001/04/xmlenc#sha256"/>
        <DigestValue>PpWb8se6uMci4CzS/uCc3GReGfZ0Syh2KVy4KkAH208=</DigestValue>
      </Reference>
      <Reference URI="/xl/printerSettings/printerSettings46.bin?ContentType=application/vnd.openxmlformats-officedocument.spreadsheetml.printerSettings">
        <DigestMethod Algorithm="http://www.w3.org/2001/04/xmlenc#sha256"/>
        <DigestValue>PpWb8se6uMci4CzS/uCc3GReGfZ0Syh2KVy4KkAH208=</DigestValue>
      </Reference>
      <Reference URI="/xl/printerSettings/printerSettings47.bin?ContentType=application/vnd.openxmlformats-officedocument.spreadsheetml.printerSettings">
        <DigestMethod Algorithm="http://www.w3.org/2001/04/xmlenc#sha256"/>
        <DigestValue>PpWb8se6uMci4CzS/uCc3GReGfZ0Syh2KVy4KkAH208=</DigestValue>
      </Reference>
      <Reference URI="/xl/printerSettings/printerSettings48.bin?ContentType=application/vnd.openxmlformats-officedocument.spreadsheetml.printerSettings">
        <DigestMethod Algorithm="http://www.w3.org/2001/04/xmlenc#sha256"/>
        <DigestValue>PpWb8se6uMci4CzS/uCc3GReGfZ0Syh2KVy4KkAH208=</DigestValue>
      </Reference>
      <Reference URI="/xl/printerSettings/printerSettings49.bin?ContentType=application/vnd.openxmlformats-officedocument.spreadsheetml.printerSettings">
        <DigestMethod Algorithm="http://www.w3.org/2001/04/xmlenc#sha256"/>
        <DigestValue>PpWb8se6uMci4CzS/uCc3GReGfZ0Syh2KVy4KkAH208=</DigestValue>
      </Reference>
      <Reference URI="/xl/printerSettings/printerSettings5.bin?ContentType=application/vnd.openxmlformats-officedocument.spreadsheetml.printerSettings">
        <DigestMethod Algorithm="http://www.w3.org/2001/04/xmlenc#sha256"/>
        <DigestValue>Sf+JfBSZYKcstiIhRjUwhklF0MhPzO7Ogm8WPr6pXf0=</DigestValue>
      </Reference>
      <Reference URI="/xl/printerSettings/printerSettings6.bin?ContentType=application/vnd.openxmlformats-officedocument.spreadsheetml.printerSettings">
        <DigestMethod Algorithm="http://www.w3.org/2001/04/xmlenc#sha256"/>
        <DigestValue>T0HQDyNRWgflzkMhYLS6mzyfQFG68QJGzQ37Bw6IE04=</DigestValue>
      </Reference>
      <Reference URI="/xl/printerSettings/printerSettings7.bin?ContentType=application/vnd.openxmlformats-officedocument.spreadsheetml.printerSettings">
        <DigestMethod Algorithm="http://www.w3.org/2001/04/xmlenc#sha256"/>
        <DigestValue>/nGsmLUr6O13Ac4gHYHvICCF8GG3xjgXGTNFX2XeDsQ=</DigestValue>
      </Reference>
      <Reference URI="/xl/printerSettings/printerSettings8.bin?ContentType=application/vnd.openxmlformats-officedocument.spreadsheetml.printerSettings">
        <DigestMethod Algorithm="http://www.w3.org/2001/04/xmlenc#sha256"/>
        <DigestValue>Qr1c8JjKV6myfEmNESrdFkqizG10vDKjjBYFPh4usmA=</DigestValue>
      </Reference>
      <Reference URI="/xl/printerSettings/printerSettings9.bin?ContentType=application/vnd.openxmlformats-officedocument.spreadsheetml.printerSettings">
        <DigestMethod Algorithm="http://www.w3.org/2001/04/xmlenc#sha256"/>
        <DigestValue>Qr1c8JjKV6myfEmNESrdFkqizG10vDKjjBYFPh4usmA=</DigestValue>
      </Reference>
      <Reference URI="/xl/sharedStrings.xml?ContentType=application/vnd.openxmlformats-officedocument.spreadsheetml.sharedStrings+xml">
        <DigestMethod Algorithm="http://www.w3.org/2001/04/xmlenc#sha256"/>
        <DigestValue>+ZviSl9zOGctTK03ljSalU0sjBPKXxmwztkp9bpjXwM=</DigestValue>
      </Reference>
      <Reference URI="/xl/styles.xml?ContentType=application/vnd.openxmlformats-officedocument.spreadsheetml.styles+xml">
        <DigestMethod Algorithm="http://www.w3.org/2001/04/xmlenc#sha256"/>
        <DigestValue>NTH3977tnZsUaSdCFMMWuMkhsOTcU3Cm9njyynl6iEE=</DigestValue>
      </Reference>
      <Reference URI="/xl/theme/theme1.xml?ContentType=application/vnd.openxmlformats-officedocument.theme+xml">
        <DigestMethod Algorithm="http://www.w3.org/2001/04/xmlenc#sha256"/>
        <DigestValue>P6DWglu8YgYnmX+l3kdogaaJyumc6cnNEnNorXpQfCM=</DigestValue>
      </Reference>
      <Reference URI="/xl/workbook.xml?ContentType=application/vnd.openxmlformats-officedocument.spreadsheetml.sheet.main+xml">
        <DigestMethod Algorithm="http://www.w3.org/2001/04/xmlenc#sha256"/>
        <DigestValue>EHjTz8tJrK8IPzubKTFWNZfrESNKPKZEMt2o1Ti8oT8=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rPY8THSJDX84+EjEsptEtX0sB+yzxVXaUQq5bqQk4i8=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xZ54+lU4u9NaYtT7FnVsHXThiNDp8KFFxsm252MCZYk=</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tbAVzrFam96r7zTY6M6QiSy+qRWQVV0HcEHZ4+h04/A=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qLX7vszwdUKtNSSYzJSaRceXiZ7F1yRMP30eYcks96Y=</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Y6W6IHyvzNvO1wbkKyV0wWV1Uqylnb3WXakLJ3qCaK4=</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SLpH5hncHrs4wNKXI3m2fC3i9M8m8LrbZTPtt/d7NLo=</DigestValue>
      </Reference>
      <Reference URI="/xl/worksheets/_rels/sheet1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lD/DNgT/kZBW44031kiwZTvn2Nllv1yDNiI4FnzoIT4=</DigestValue>
      </Reference>
      <Reference URI="/xl/worksheets/_rels/sheet1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twUphv0Is00bW/fLEpRndpf22g47y5up88BzInid8b0=</DigestValue>
      </Reference>
      <Reference URI="/xl/worksheets/_rels/sheet1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gzAJ2wl7zVQnkHsMbyZQriDHwtVvcSXvUPBNw1H+QfI=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w9kJgC3POm8IXkF8apaHYpiB7UgESnMvh8+REVGXmoc=</DigestValue>
      </Reference>
      <Reference URI="/xl/worksheets/_rels/sheet2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zNjPxrnvdeQwFDuWRS4stUEMhBJBLpn6Fopx0hsVRog=</DigestValue>
      </Reference>
      <Reference URI="/xl/worksheets/_rels/sheet2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RcEn7DS6dRbadoFJfXSUE4ZlIbH2hEDXRQcA7uchuZ0=</DigestValue>
      </Reference>
      <Reference URI="/xl/worksheets/_rels/sheet2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OYr+JOTLMYAT7jEhru+uZRsMCtkMkRv7nBOhAp9yLtY=</DigestValue>
      </Reference>
      <Reference URI="/xl/worksheets/_rels/sheet2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e8F5/+Ho3HhjiY3zk8eCb1oC3oz1OzRzgbJK/BvBkTs=</DigestValue>
      </Reference>
      <Reference URI="/xl/worksheets/_rels/sheet2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A6UEXsMxA6Q+5WcIUHzb5EtK+Roq8cOsig6S3B9u41Q=</DigestValue>
      </Reference>
      <Reference URI="/xl/worksheets/_rels/sheet2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VTzy8vh1o/UkO6zyI++1CHrAj/aKDi4fJLrQnRlxGcY=</DigestValue>
      </Reference>
      <Reference URI="/xl/worksheets/_rels/sheet2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R0mebWe3zFj6rMw+DEGUtFFtMVNgVhAk3hiJsZo0GeU=</DigestValue>
      </Reference>
      <Reference URI="/xl/worksheets/_rels/sheet2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/zqnYW+tyRnQbxuGAvJsVtLu19lHrjnJGiQHHC3LUnc=</DigestValue>
      </Reference>
      <Reference URI="/xl/worksheets/_rels/sheet2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PAh7ZnnxenF05MghJFTU3P+M6zXwP4NJMT1x0gDh09E=</DigestValue>
      </Reference>
      <Reference URI="/xl/worksheets/_rels/sheet2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7oy0SGuIdsZp433WHNT7e8sXYL1rYBH7CpEPtj2z5RQ=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iLnqDiTvY3jcO6oGUkMq4Xn822GZ9FieCsP3rsGEq9A=</DigestValue>
      </Reference>
      <Reference URI="/xl/worksheets/_rels/sheet3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CcBQQ/TGz4hRjQSlW2qlFnnWWeDzdojM/K6iX2IeaMA=</DigestValue>
      </Reference>
      <Reference URI="/xl/worksheets/_rels/sheet3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egHN6Oj88hY05SUNik1MfHMf3u2Dno/RKK+YseBVHMs=</DigestValue>
      </Reference>
      <Reference URI="/xl/worksheets/_rels/sheet3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YGcifz7qZ/CddPD/NiddGl6FNLWx1gOgQAg6bXhFgx8=</DigestValue>
      </Reference>
      <Reference URI="/xl/worksheets/_rels/sheet3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MoShtMAYRFOTmpfQAHPPyl1sXvDw3J3JhbGYk5sCNYE=</DigestValue>
      </Reference>
      <Reference URI="/xl/worksheets/_rels/sheet3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qGIZSiOSIFFibPQbRBE+/sQtKNVHNuHkF1sMY9Sl6Mk=</DigestValue>
      </Reference>
      <Reference URI="/xl/worksheets/_rels/sheet3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Px3MKYTmZXZljtgw/6eNN4kFkf5EFTmkFO++MKieM3s=</DigestValue>
      </Reference>
      <Reference URI="/xl/worksheets/_rels/sheet3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l/Os6WUDpoSWR6972F6Lesy5emTD7sUbQkOYs7CvSns=</DigestValue>
      </Reference>
      <Reference URI="/xl/worksheets/_rels/sheet3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7VBXRHY/VSQDegoiw3iwRnjyphecx8TPoC+YBvL6Jas=</DigestValue>
      </Reference>
      <Reference URI="/xl/worksheets/_rels/sheet3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PbYvnmfy2DWtoXnkEv+Qnahbq8EgtwD7igPG1LDcYNo=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Tawd0AR3WKIFqlhccubY3AMVoPIhyN3+vwBhGLrXAaA=</DigestValue>
      </Reference>
      <Reference URI="/xl/worksheets/_rels/sheet4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BqqzFmiA1uslNLYRGHs7zyDbitdLlBs4VzyT8+xMXY8=</DigestValue>
      </Reference>
      <Reference URI="/xl/worksheets/_rels/sheet4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4Zy6hmBoFdPGmvcaNOrvE4QrOtplixWjZosZNflDlOk=</DigestValue>
      </Reference>
      <Reference URI="/xl/worksheets/_rels/sheet4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H6ffx+TbYRrVLWtDycIl1qi4lmhGGimUya40wKQRJwE=</DigestValue>
      </Reference>
      <Reference URI="/xl/worksheets/_rels/sheet4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HOUtsJk0Kj+Epi+f3n8x00W6yqNvYaw/AYucMTtlDP4=</DigestValue>
      </Reference>
      <Reference URI="/xl/worksheets/_rels/sheet4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PLkOYJBBr7gPugik8WUDY7ACefcE+1H03S9jXwDgcJo=</DigestValue>
      </Reference>
      <Reference URI="/xl/worksheets/_rels/sheet4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X5Uub53FSp9AEG89dXVcqE5gGF7s3f5YNjr9uwAnrKU=</DigestValue>
      </Reference>
      <Reference URI="/xl/worksheets/_rels/sheet4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f98xhB+M5anfw9tc9I9j6FwVGIIPoE4hfjLzyp1nvXY=</DigestValue>
      </Reference>
      <Reference URI="/xl/worksheets/_rels/sheet4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GhmWpO9+87CeCi8g381Mzwwdcco/mAk3NvlKh13PFII=</DigestValue>
      </Reference>
      <Reference URI="/xl/worksheets/_rels/sheet4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Q3Sb3LRGhZ+qKwjA/Qb3u6Rumh4CzvV07OnURQB9t4M=</DigestValue>
      </Reference>
      <Reference URI="/xl/worksheets/_rels/sheet4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UeqjKAv5nB6P8g3BPTPT72hxFFIzFkkCyX/kMsSOgkk=</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kES1yCotKwnnhOOZkxVYB9G/E/IMRFzLZ5BhStIJkE0=</DigestValue>
      </Reference>
      <Reference URI="/xl/worksheets/_rels/sheet5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NAyZSNhLZTmIF4MSypwOUaXO8I0vrFu1YMYSoHduOAo=</DigestValue>
      </Reference>
      <Reference URI="/xl/worksheets/_rels/sheet5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DSP3ATOv5tGKq64OWNDYHn+mAx1niylSzWt1YRG4d2o=</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4WHWcO4aBztAKJ+3UGnOTuLL/b4hoVUWDvqTLfaCuNs=</DigestValue>
      </Reference>
      <Reference URI="/xl/worksheets/sheet10.xml?ContentType=application/vnd.openxmlformats-officedocument.spreadsheetml.worksheet+xml">
        <DigestMethod Algorithm="http://www.w3.org/2001/04/xmlenc#sha256"/>
        <DigestValue>tV3ZwutlkiXZyv3uiXaSMGDYkGTRX1V5rb9UvlTbQBg=</DigestValue>
      </Reference>
      <Reference URI="/xl/worksheets/sheet11.xml?ContentType=application/vnd.openxmlformats-officedocument.spreadsheetml.worksheet+xml">
        <DigestMethod Algorithm="http://www.w3.org/2001/04/xmlenc#sha256"/>
        <DigestValue>XrefhV65LXWR7I8Y4xpHJkY49hPVksSy8fsUA8lKpm0=</DigestValue>
      </Reference>
      <Reference URI="/xl/worksheets/sheet12.xml?ContentType=application/vnd.openxmlformats-officedocument.spreadsheetml.worksheet+xml">
        <DigestMethod Algorithm="http://www.w3.org/2001/04/xmlenc#sha256"/>
        <DigestValue>+FoX0GFXG+mSDUbUaZnMAqAVij6dIkyLZcyRA6tWy9U=</DigestValue>
      </Reference>
      <Reference URI="/xl/worksheets/sheet13.xml?ContentType=application/vnd.openxmlformats-officedocument.spreadsheetml.worksheet+xml">
        <DigestMethod Algorithm="http://www.w3.org/2001/04/xmlenc#sha256"/>
        <DigestValue>2LItafDt3EQ5kH2PZVvmaa2PIRfhmXNmw6X55jVGCsM=</DigestValue>
      </Reference>
      <Reference URI="/xl/worksheets/sheet14.xml?ContentType=application/vnd.openxmlformats-officedocument.spreadsheetml.worksheet+xml">
        <DigestMethod Algorithm="http://www.w3.org/2001/04/xmlenc#sha256"/>
        <DigestValue>w4tpVc8CQvBQMMDn1hmEsxral529mSe2yvwH33qon8k=</DigestValue>
      </Reference>
      <Reference URI="/xl/worksheets/sheet15.xml?ContentType=application/vnd.openxmlformats-officedocument.spreadsheetml.worksheet+xml">
        <DigestMethod Algorithm="http://www.w3.org/2001/04/xmlenc#sha256"/>
        <DigestValue>hN2LbsGqtpAdr007qR4szm9q5uyKxLiQLrWTGj9eydU=</DigestValue>
      </Reference>
      <Reference URI="/xl/worksheets/sheet16.xml?ContentType=application/vnd.openxmlformats-officedocument.spreadsheetml.worksheet+xml">
        <DigestMethod Algorithm="http://www.w3.org/2001/04/xmlenc#sha256"/>
        <DigestValue>UvALIGyGPAcps7dD4MUyQUUtCuANs/d1HA3Uj0WVPb4=</DigestValue>
      </Reference>
      <Reference URI="/xl/worksheets/sheet17.xml?ContentType=application/vnd.openxmlformats-officedocument.spreadsheetml.worksheet+xml">
        <DigestMethod Algorithm="http://www.w3.org/2001/04/xmlenc#sha256"/>
        <DigestValue>yMJJmG2fxwPOyB2Wjo6UN+gifjgxRoq7/WcWttOouKc=</DigestValue>
      </Reference>
      <Reference URI="/xl/worksheets/sheet18.xml?ContentType=application/vnd.openxmlformats-officedocument.spreadsheetml.worksheet+xml">
        <DigestMethod Algorithm="http://www.w3.org/2001/04/xmlenc#sha256"/>
        <DigestValue>klUGtkiD5E4PwFnkulkq5OrsvZ+CH/HCGyzqPNM269A=</DigestValue>
      </Reference>
      <Reference URI="/xl/worksheets/sheet19.xml?ContentType=application/vnd.openxmlformats-officedocument.spreadsheetml.worksheet+xml">
        <DigestMethod Algorithm="http://www.w3.org/2001/04/xmlenc#sha256"/>
        <DigestValue>psJCvW4ptj++oYnC0fHYwVMPXlCQgrbObu0Y9a5tzcU=</DigestValue>
      </Reference>
      <Reference URI="/xl/worksheets/sheet2.xml?ContentType=application/vnd.openxmlformats-officedocument.spreadsheetml.worksheet+xml">
        <DigestMethod Algorithm="http://www.w3.org/2001/04/xmlenc#sha256"/>
        <DigestValue>DZP5hzcnhHmuToU/lEFn6BUI7XyYwHkGf2E5aXYW1H0=</DigestValue>
      </Reference>
      <Reference URI="/xl/worksheets/sheet20.xml?ContentType=application/vnd.openxmlformats-officedocument.spreadsheetml.worksheet+xml">
        <DigestMethod Algorithm="http://www.w3.org/2001/04/xmlenc#sha256"/>
        <DigestValue>k/5LchzyPTU+m2ySC3IMwM2vpankNSNJa8IxfC7LjVg=</DigestValue>
      </Reference>
      <Reference URI="/xl/worksheets/sheet21.xml?ContentType=application/vnd.openxmlformats-officedocument.spreadsheetml.worksheet+xml">
        <DigestMethod Algorithm="http://www.w3.org/2001/04/xmlenc#sha256"/>
        <DigestValue>ZKkUNSdb3AabTrldyphs8dwf37q+ELMPMuxvWYY1qPk=</DigestValue>
      </Reference>
      <Reference URI="/xl/worksheets/sheet22.xml?ContentType=application/vnd.openxmlformats-officedocument.spreadsheetml.worksheet+xml">
        <DigestMethod Algorithm="http://www.w3.org/2001/04/xmlenc#sha256"/>
        <DigestValue>GbCugZukFFcmIt0eHxPO7KzD5exn+gvCEyA6JvykH00=</DigestValue>
      </Reference>
      <Reference URI="/xl/worksheets/sheet23.xml?ContentType=application/vnd.openxmlformats-officedocument.spreadsheetml.worksheet+xml">
        <DigestMethod Algorithm="http://www.w3.org/2001/04/xmlenc#sha256"/>
        <DigestValue>939nEi3ws5ouNkai8NFLRtFmwmWewBbuMCNazJs6JAQ=</DigestValue>
      </Reference>
      <Reference URI="/xl/worksheets/sheet24.xml?ContentType=application/vnd.openxmlformats-officedocument.spreadsheetml.worksheet+xml">
        <DigestMethod Algorithm="http://www.w3.org/2001/04/xmlenc#sha256"/>
        <DigestValue>bHbmGvaGfEA/ouI+xRH95ZNLXed1kM2QX0l9AnGErpI=</DigestValue>
      </Reference>
      <Reference URI="/xl/worksheets/sheet25.xml?ContentType=application/vnd.openxmlformats-officedocument.spreadsheetml.worksheet+xml">
        <DigestMethod Algorithm="http://www.w3.org/2001/04/xmlenc#sha256"/>
        <DigestValue>zTgkEXxFwBt74ISNCjK9f1Wc+DNc17sSWXBN3dmjrpk=</DigestValue>
      </Reference>
      <Reference URI="/xl/worksheets/sheet26.xml?ContentType=application/vnd.openxmlformats-officedocument.spreadsheetml.worksheet+xml">
        <DigestMethod Algorithm="http://www.w3.org/2001/04/xmlenc#sha256"/>
        <DigestValue>8dvMW34chf85H6BAP58jatcnPd+ay/ygsItgt6kJqcc=</DigestValue>
      </Reference>
      <Reference URI="/xl/worksheets/sheet27.xml?ContentType=application/vnd.openxmlformats-officedocument.spreadsheetml.worksheet+xml">
        <DigestMethod Algorithm="http://www.w3.org/2001/04/xmlenc#sha256"/>
        <DigestValue>z7/coktgpClOsCR5om8F8O8LvJtYtEIme+fNiHT39X0=</DigestValue>
      </Reference>
      <Reference URI="/xl/worksheets/sheet28.xml?ContentType=application/vnd.openxmlformats-officedocument.spreadsheetml.worksheet+xml">
        <DigestMethod Algorithm="http://www.w3.org/2001/04/xmlenc#sha256"/>
        <DigestValue>ONmyoxOWFdmB4jtUZ5BMqpJ7HmgsQMSLoh/Fy9kNKtg=</DigestValue>
      </Reference>
      <Reference URI="/xl/worksheets/sheet29.xml?ContentType=application/vnd.openxmlformats-officedocument.spreadsheetml.worksheet+xml">
        <DigestMethod Algorithm="http://www.w3.org/2001/04/xmlenc#sha256"/>
        <DigestValue>/AICYpY/f9djjimDAqlY8EtIzlw61vqrI58dB4JbMP0=</DigestValue>
      </Reference>
      <Reference URI="/xl/worksheets/sheet3.xml?ContentType=application/vnd.openxmlformats-officedocument.spreadsheetml.worksheet+xml">
        <DigestMethod Algorithm="http://www.w3.org/2001/04/xmlenc#sha256"/>
        <DigestValue>6+T8viRygOKx51BEGq75xNeHyKv2lPwbGRFBRtI7e4w=</DigestValue>
      </Reference>
      <Reference URI="/xl/worksheets/sheet30.xml?ContentType=application/vnd.openxmlformats-officedocument.spreadsheetml.worksheet+xml">
        <DigestMethod Algorithm="http://www.w3.org/2001/04/xmlenc#sha256"/>
        <DigestValue>/3Xe2oZ/HVnlMCcEJTtHwZIOO22OO6Ee9dhmG6En0ys=</DigestValue>
      </Reference>
      <Reference URI="/xl/worksheets/sheet31.xml?ContentType=application/vnd.openxmlformats-officedocument.spreadsheetml.worksheet+xml">
        <DigestMethod Algorithm="http://www.w3.org/2001/04/xmlenc#sha256"/>
        <DigestValue>1dEYw7nS6r7bE34L8tS/6kYSuWBe92l49PR5wiclVtA=</DigestValue>
      </Reference>
      <Reference URI="/xl/worksheets/sheet32.xml?ContentType=application/vnd.openxmlformats-officedocument.spreadsheetml.worksheet+xml">
        <DigestMethod Algorithm="http://www.w3.org/2001/04/xmlenc#sha256"/>
        <DigestValue>3+M+jWP+jHtcJgqpXUz3kTiW9XAiygA4PyXXN+hCaVQ=</DigestValue>
      </Reference>
      <Reference URI="/xl/worksheets/sheet33.xml?ContentType=application/vnd.openxmlformats-officedocument.spreadsheetml.worksheet+xml">
        <DigestMethod Algorithm="http://www.w3.org/2001/04/xmlenc#sha256"/>
        <DigestValue>kRQZxqsRGPfcE7oyhibHpdVIlY+dDRgQRBMKAEYFgKg=</DigestValue>
      </Reference>
      <Reference URI="/xl/worksheets/sheet34.xml?ContentType=application/vnd.openxmlformats-officedocument.spreadsheetml.worksheet+xml">
        <DigestMethod Algorithm="http://www.w3.org/2001/04/xmlenc#sha256"/>
        <DigestValue>NQ04lrIvV7A4/1SnNLKs9Br5Lu6UCR3lmNFNppKBCsk=</DigestValue>
      </Reference>
      <Reference URI="/xl/worksheets/sheet35.xml?ContentType=application/vnd.openxmlformats-officedocument.spreadsheetml.worksheet+xml">
        <DigestMethod Algorithm="http://www.w3.org/2001/04/xmlenc#sha256"/>
        <DigestValue>0og0aNRdu7ORMhPFyLXz2DT/HQTZmlvLkSDrOo0m4Uw=</DigestValue>
      </Reference>
      <Reference URI="/xl/worksheets/sheet36.xml?ContentType=application/vnd.openxmlformats-officedocument.spreadsheetml.worksheet+xml">
        <DigestMethod Algorithm="http://www.w3.org/2001/04/xmlenc#sha256"/>
        <DigestValue>gkG0zV9kkEo2Aa/639ShKSMYibG49MxW9f2k//FFL8k=</DigestValue>
      </Reference>
      <Reference URI="/xl/worksheets/sheet37.xml?ContentType=application/vnd.openxmlformats-officedocument.spreadsheetml.worksheet+xml">
        <DigestMethod Algorithm="http://www.w3.org/2001/04/xmlenc#sha256"/>
        <DigestValue>qqMwG97wu9RwwBUu2+tDQijPOKMaimQfxH/iEf/x/gI=</DigestValue>
      </Reference>
      <Reference URI="/xl/worksheets/sheet38.xml?ContentType=application/vnd.openxmlformats-officedocument.spreadsheetml.worksheet+xml">
        <DigestMethod Algorithm="http://www.w3.org/2001/04/xmlenc#sha256"/>
        <DigestValue>CuJM2fJcs3cHsyTIRzbgmJe1xePIPZo9JJtqDzaGkE4=</DigestValue>
      </Reference>
      <Reference URI="/xl/worksheets/sheet39.xml?ContentType=application/vnd.openxmlformats-officedocument.spreadsheetml.worksheet+xml">
        <DigestMethod Algorithm="http://www.w3.org/2001/04/xmlenc#sha256"/>
        <DigestValue>w/rYMo/wce3qwvA+BLxmGUhsFT8fH9pvNI5xJ44n6Mc=</DigestValue>
      </Reference>
      <Reference URI="/xl/worksheets/sheet4.xml?ContentType=application/vnd.openxmlformats-officedocument.spreadsheetml.worksheet+xml">
        <DigestMethod Algorithm="http://www.w3.org/2001/04/xmlenc#sha256"/>
        <DigestValue>7MPEemN++BdZKLqC+X1/ZynXTQ0n2LJi0khoFjrmGB4=</DigestValue>
      </Reference>
      <Reference URI="/xl/worksheets/sheet40.xml?ContentType=application/vnd.openxmlformats-officedocument.spreadsheetml.worksheet+xml">
        <DigestMethod Algorithm="http://www.w3.org/2001/04/xmlenc#sha256"/>
        <DigestValue>7kMlScXmRCsYM+3qWWlYoVkBE+Io0KDKeixi4+dNnpA=</DigestValue>
      </Reference>
      <Reference URI="/xl/worksheets/sheet41.xml?ContentType=application/vnd.openxmlformats-officedocument.spreadsheetml.worksheet+xml">
        <DigestMethod Algorithm="http://www.w3.org/2001/04/xmlenc#sha256"/>
        <DigestValue>+4sPcNSiSwP0UAj7RpvkqjsiqwhGrnj7pWlNaThAgs8=</DigestValue>
      </Reference>
      <Reference URI="/xl/worksheets/sheet42.xml?ContentType=application/vnd.openxmlformats-officedocument.spreadsheetml.worksheet+xml">
        <DigestMethod Algorithm="http://www.w3.org/2001/04/xmlenc#sha256"/>
        <DigestValue>PFiKga4h3oVFK1P/3eY++yq+JxDo3vv48MuelfObspU=</DigestValue>
      </Reference>
      <Reference URI="/xl/worksheets/sheet43.xml?ContentType=application/vnd.openxmlformats-officedocument.spreadsheetml.worksheet+xml">
        <DigestMethod Algorithm="http://www.w3.org/2001/04/xmlenc#sha256"/>
        <DigestValue>BIdb2O6Tgq5/X3OoRYxkH3/fBL9NDt0r4fiMAMu7y1w=</DigestValue>
      </Reference>
      <Reference URI="/xl/worksheets/sheet44.xml?ContentType=application/vnd.openxmlformats-officedocument.spreadsheetml.worksheet+xml">
        <DigestMethod Algorithm="http://www.w3.org/2001/04/xmlenc#sha256"/>
        <DigestValue>Joo7ocvTPsg+ttkVdEd3UPpYfFgITIm/4Q6fcYSQ7Wo=</DigestValue>
      </Reference>
      <Reference URI="/xl/worksheets/sheet45.xml?ContentType=application/vnd.openxmlformats-officedocument.spreadsheetml.worksheet+xml">
        <DigestMethod Algorithm="http://www.w3.org/2001/04/xmlenc#sha256"/>
        <DigestValue>d5wB3gKP8xRNITD2y18lidl8YW5AEPpld2OUC5kUjPs=</DigestValue>
      </Reference>
      <Reference URI="/xl/worksheets/sheet46.xml?ContentType=application/vnd.openxmlformats-officedocument.spreadsheetml.worksheet+xml">
        <DigestMethod Algorithm="http://www.w3.org/2001/04/xmlenc#sha256"/>
        <DigestValue>9NJ40k/hNSSLuKiErS76JcwVwdgWMkWZVR9OZVbIGL0=</DigestValue>
      </Reference>
      <Reference URI="/xl/worksheets/sheet47.xml?ContentType=application/vnd.openxmlformats-officedocument.spreadsheetml.worksheet+xml">
        <DigestMethod Algorithm="http://www.w3.org/2001/04/xmlenc#sha256"/>
        <DigestValue>D3rCUQvKXVS1khnKgDlYsCqdpFl+QKir0VkdHPMH5rI=</DigestValue>
      </Reference>
      <Reference URI="/xl/worksheets/sheet48.xml?ContentType=application/vnd.openxmlformats-officedocument.spreadsheetml.worksheet+xml">
        <DigestMethod Algorithm="http://www.w3.org/2001/04/xmlenc#sha256"/>
        <DigestValue>WSsMxyTUQy0rhZAuYPwwTSUsc18VLO7pEg0+4TznLHA=</DigestValue>
      </Reference>
      <Reference URI="/xl/worksheets/sheet49.xml?ContentType=application/vnd.openxmlformats-officedocument.spreadsheetml.worksheet+xml">
        <DigestMethod Algorithm="http://www.w3.org/2001/04/xmlenc#sha256"/>
        <DigestValue>VQSfYJLuxLpx8wR+1xeCoYkX5WNz6dELZueXf9hFljE=</DigestValue>
      </Reference>
      <Reference URI="/xl/worksheets/sheet5.xml?ContentType=application/vnd.openxmlformats-officedocument.spreadsheetml.worksheet+xml">
        <DigestMethod Algorithm="http://www.w3.org/2001/04/xmlenc#sha256"/>
        <DigestValue>qVRg4oS36SY3gxIS6wwpUBRFWz4mhJWA5ZMXyi3F+Xo=</DigestValue>
      </Reference>
      <Reference URI="/xl/worksheets/sheet50.xml?ContentType=application/vnd.openxmlformats-officedocument.spreadsheetml.worksheet+xml">
        <DigestMethod Algorithm="http://www.w3.org/2001/04/xmlenc#sha256"/>
        <DigestValue>kruQ+NTMr2F9z6xZgj9c8nv+RFfQ4EkBoWZLdhmOgCA=</DigestValue>
      </Reference>
      <Reference URI="/xl/worksheets/sheet51.xml?ContentType=application/vnd.openxmlformats-officedocument.spreadsheetml.worksheet+xml">
        <DigestMethod Algorithm="http://www.w3.org/2001/04/xmlenc#sha256"/>
        <DigestValue>/WnzJVjDmGIIJG3MiSlUwUNtGdGqv+TJaHnO5MkEvk8=</DigestValue>
      </Reference>
      <Reference URI="/xl/worksheets/sheet52.xml?ContentType=application/vnd.openxmlformats-officedocument.spreadsheetml.worksheet+xml">
        <DigestMethod Algorithm="http://www.w3.org/2001/04/xmlenc#sha256"/>
        <DigestValue>d2d4X56O9J+1GOMYV2EfqL283DamKNlRdJ2TXQqGWdE=</DigestValue>
      </Reference>
      <Reference URI="/xl/worksheets/sheet6.xml?ContentType=application/vnd.openxmlformats-officedocument.spreadsheetml.worksheet+xml">
        <DigestMethod Algorithm="http://www.w3.org/2001/04/xmlenc#sha256"/>
        <DigestValue>i+mXBmbeC3coyDCHh18qwXGeH8J/6OZYMX9n/lLXWzo=</DigestValue>
      </Reference>
      <Reference URI="/xl/worksheets/sheet7.xml?ContentType=application/vnd.openxmlformats-officedocument.spreadsheetml.worksheet+xml">
        <DigestMethod Algorithm="http://www.w3.org/2001/04/xmlenc#sha256"/>
        <DigestValue>YEi3cQiXgNr4WyBUub2x2cAXP/Rpm768xJ1XKy346V8=</DigestValue>
      </Reference>
      <Reference URI="/xl/worksheets/sheet8.xml?ContentType=application/vnd.openxmlformats-officedocument.spreadsheetml.worksheet+xml">
        <DigestMethod Algorithm="http://www.w3.org/2001/04/xmlenc#sha256"/>
        <DigestValue>TsCLU4XuoxHdEGmH3R5wsV9PbGj9ScoX2kOxoq7xS2E=</DigestValue>
      </Reference>
      <Reference URI="/xl/worksheets/sheet9.xml?ContentType=application/vnd.openxmlformats-officedocument.spreadsheetml.worksheet+xml">
        <DigestMethod Algorithm="http://www.w3.org/2001/04/xmlenc#sha256"/>
        <DigestValue>GH/xEEaQUQpODetzpzmgI2Fc6fMsLTBcVgA2v2WBkrU=</DigestValue>
      </Reference>
    </Manifest>
    <SignatureProperties>
      <SignatureProperty Id="idSignatureTime" Target="#idPackageSignature">
        <mdssi:SignatureTime xmlns:mdssi="http://schemas.openxmlformats.org/package/2006/digital-signature">
          <mdssi:Format>YYYY-MM-DDThh:mm:ssTZD</mdssi:Format>
          <mdssi:Value>2024-05-28T21:10:39Z</mdssi:Value>
        </mdssi:SignatureTime>
      </SignatureProperty>
    </SignatureProperties>
  </Object>
  <Object Id="idOfficeObject">
    <SignatureProperties>
      <SignatureProperty Id="idOfficeV1Details" Target="#idPackageSignature">
        <SignatureInfoV1 xmlns="http://schemas.microsoft.com/office/2006/digsig">
          <SetupID>{96DFF3CB-D6FF-4820-B3B6-27624831D995}</SetupID>
          <SignatureText>Mg Elvira Ruffinelli</SignatureText>
          <SignatureImage/>
          <SignatureComments/>
          <WindowsVersion>10.0</WindowsVersion>
          <OfficeVersion>16.0.15225/23</OfficeVersion>
          <ApplicationVersion>16.0.15225</ApplicationVersion>
          <Monitors>1</Monitors>
          <HorizontalResolution>1280</HorizontalResolution>
          <VerticalResolution>720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2024-05-28T21:10:39Z</xd:SigningTime>
          <xd:SigningCertificate>
            <xd:Cert>
              <xd:CertDigest>
                <DigestMethod Algorithm="http://www.w3.org/2001/04/xmlenc#sha256"/>
                <DigestValue>ACSXgnw8EdjGqcZ1R4Ei9oUhOQrFIpS2M24RI/cbJf4=</DigestValue>
              </xd:CertDigest>
              <xd:IssuerSerial>
                <X509IssuerName>C=PY, O=DOCUMENTA S.A., SERIALNUMBER=RUC80050172-1, CN=CA-DOCUMENTA S.A.</X509IssuerName>
                <X509SerialNumber>7222888923928007239</X509SerialNumber>
              </xd:IssuerSerial>
            </xd:Cert>
          </xd:SigningCertificate>
          <xd:SignaturePolicyIdentifier>
            <xd:SignaturePolicyImplied/>
          </xd:SignaturePolicyIdentifier>
        </xd:SignedSignatureProperties>
      </xd:SignedProperties>
    </xd:QualifyingProperties>
  </Object>
  <Object Id="idValidSigLnImg">AQAAAGwAAAAAAAAAAAAAAP8AAAB/AAAAAAAAAAAAAADMGgAAaA0AACBFTUYAAAEA6BsAAKoAAAAGAAAAAAAAAAAAAAAAAAAAAAUAANACAABXAQAAwQAAAAAAAAAAAAAAAAAAANg7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CAAAAAAAAAAkKzV/X8AAACQrNX9fwAAcgBvAHMAbwAAADQM/n8AAFXfANX9fwAAcEg0DP5/AADMeI/V/X8AANAWAABpAGMAQAAAwP1/AAAAADQM/n8AACHiANX9fwAABAAAAAAAAABwSDQM/n8AAKC0z2uKAAAAzHiP1QAAAABIAAAA/n8AAMx4j9X9fwAAoJOs1f1/AAAAfY/V/X8AAAEAAAAAAAAAeKKP1f1/AAAAADQM/n8AAAAAAAAAAAAAAAAAAP5/AAD1////AAAAAAAAAAAAAAAAgKsL+DUCAAC4ts9rigAAAAAAAAAAAAAAGbbPa4oAAACczwDVZHYACAAAAAAlAAAADAAAAAEAAAAYAAAADAAAAAAAAAASAAAADAAAAAEAAAAeAAAAGAAAAL0AAAAEAAAA9wAAABEAAAAlAAAADAAAAAEAAABUAAAAiAAAAL4AAAAEAAAA9QAAABAAAAABAAAAAGDWQcdx1kG+AAAABAAAAAoAAABMAAAAAAAAAAAAAAAAAAAA//////////9gAAAAMgA4AC8AMAA1AC8AMgAwADIAN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AAAAAAAAAAAwNLPa4oAAACU4QDV/X8AAAAAAAAAAAAA+NHPa4oAAABw087z/X8AAAAAAAAAAAAAcFY0DP5/AAAJAAAACQAAAAAAAAAAAAAAlOEA1f1/AADQIQAAigAAAIBZr4c1AgAAaNPPa4oAAABAZeEK/n8AAAAAz2sAAAAAyNDsCv5/AAAAAAAAAAAAAAwDS/Y1AgAAYwAAAAAAAAAAAAAAAAAAAAAAAAAAAAAANSJ7pb8fAAAyAAAAAAAAADAJLok1AgAAMAzX+DUCAACAqwv4NQIAAJDUz2uKAAAAAAAAAAAAAAAHAAAAAAAAAAAAAAAAAAAAzNPPa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CAAAAAAAAAADAAAAAAAAAAAAAAAAAAAAAAAAAAAAAAAAACj2NQIAAJsnXg7+fwAAQAAAAAAAAAAAAAAANQIAACgAAAAAAAAAAAAAAP1/AAAAAAAANQIAACCAcPg1AgAAAgAAAP1/AACogXD4NQIAAEBl4Qr+fwAA+HH00wAAAADI0OwK/n8AAAAAAAAAAAAAAgAAAAAAAADwDQiNNQIAAAAAAAAAAAAAAAAAAAAAAAAV4nqlvx8AAPANCI0AAAAA6BKm1P1/AADg////AAAAAICrC/g1AgAAyBTOa4oAAAAAAAAAAAAAAAYAAAAAAAAAAAAAAAAAAADsE85rZHYACAAAAAAlAAAADAAAAAMAAAAYAAAADAAAAAAAAAASAAAADAAAAAEAAAAWAAAADAAAAAgAAABUAAAAVAAAAAoAAAAnAAAAHgAAAEoAAAABAAAAAGDWQcdx1k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tAAAARwAAACkAAAAzAAAAhQAAABUAAAAhAPAAAAAAAAAAAAAAAIA/AAAAAAAAAAAAAIA/AAAAAAAAAAAAAAAAAAAAAAAAAAAAAAAAAAAAAAAAAAAlAAAADAAAAAAAAIAoAAAADAAAAAQAAABSAAAAcAEAAAQAAADw////AAAAAAAAAAAAAAAAkAEAAAAAAAEAAAAAcwBlAGcAbwBlACAAdQBpAAAAAAAAAAAAAAAAAAAAAAAAAAAAAAAAAAAAAAAAAAAAAAAAAAAAAAAAAAAAAAAAAAAAAADgwH/U/X8AAAAAAAD9fwAA4MB/1P1/AAAUngLUAAAAAAAIAAAAAAAAAAAAAAAAAAAQHgiNNQIAAAAAAAAAAAAAiHCukTUCAADASeqMNQIAAIhwrpE1AgAANob00/1/AACQuX/U/X8AAJC5f9T9fwAAQGXhCv5/AADASeqMAAAAAMjQ7Ar+fwAAAAAAAAAAAAAAAAAA/////wgAAAA1AgAAAAAAAAAAAAAAAAAAAAAAAKXieqW/HwAAFJ4C1AAAAACQHM5rigAAAPD///8AAAAAgKsL+DUCAAA4Fc5rigAAAAAAAAAAAAAACQAAAAAAAAAAAAAAAAAAAFwUzmtkdgAIAAAAACUAAAAMAAAABAAAABgAAAAMAAAAAAAAABIAAAAMAAAAAQAAAB4AAAAYAAAAKQAAADMAAACuAAAASAAAACUAAAAMAAAABAAAAFQAAADEAAAAKgAAADMAAACsAAAARwAAAAEAAAAAYNZBx3HWQSoAAAAzAAAAFAAAAEwAAAAAAAAAAAAAAAAAAAD//////////3QAAABNAGcAIABFAGwAdgBpAHIAYQAgAFIAdQBmAGYAaQBuAGUAbABsAGkADgAAAAkAAAAEAAAACAAAAAQAAAAIAAAABAAAAAYAAAAIAAAABAAAAAoAAAAJAAAABQAAAAUAAAAEAAAACQAAAAgAAAAEAAAABAAAAAQ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lAAAADAAAAAEAAAAYAAAADAAAAAAAAAASAAAADAAAAAEAAAAeAAAAGAAAAAkAAABQAAAA9wAAAF0AAAAlAAAADAAAAAEAAABUAAAA0AAAAAoAAABQAAAAaQAAAFwAAAABAAAAAGDWQcdx1kEKAAAAUAAAABYAAABMAAAAAAAAAAAAAAAAAAAA//////////94AAAATABpAGMALgAgAEUAbAB2AGkAcgBhACAAUgB1AGYAZgBpAG4AZQBsAGwAaQAFAAAAAwAAAAUAAAADAAAAAwAAAAYAAAADAAAABQAAAAMAAAAEAAAABgAAAAMAAAAHAAAABwAAAAQAAAAEAAAAAwAAAAcAAAAGAAAAAwAAAAMAAAAD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fAAAAAoAAABgAAAAOgAAAGwAAAABAAAAAGDWQcdx1kEKAAAAYAAAAAgAAABMAAAAAAAAAAAAAAAAAAAA//////////9cAAAAQwBvAG4AdABhAGQAbwByAAcAAAAHAAAABwAAAAQAAAAGAAAABwAAAAcAAAAEAAAASwAAAEAAAAAwAAAABQAAACAAAAABAAAAAQAAABAAAAAAAAAAAAAAAAABAACAAAAAAAAAAAAAAAAAAQAAgAAAACUAAAAMAAAAAgAAACcAAAAYAAAABQAAAAAAAAD///8AAAAAACUAAAAMAAAABQAAAEwAAABkAAAACQAAAHAAAADwAAAAfAAAAAkAAABwAAAA6AAAAA0AAAAhAPAAAAAAAAAAAAAAAIA/AAAAAAAAAAAAAIA/AAAAAAAAAAAAAAAAAAAAAAAAAAAAAAAAAAAAAAAAAAAlAAAADAAAAAAAAIAoAAAADAAAAAUAAAAlAAAADAAAAAEAAAAYAAAADAAAAAAAAAASAAAADAAAAAEAAAAWAAAADAAAAAAAAABUAAAARAEAAAoAAABwAAAA7wAAAHwAAAABAAAAAGDWQcdx1kEKAAAAcAAAACkAAABMAAAABAAAAAkAAABwAAAA8QAAAH0AAACgAAAARgBpAHIAbQBhAGQAbwAgAHAAbwByADoAIABFAEwAVgBJAFIAQQAgAE4ATwBFAE0ASQAgAFIAVQBGAEYASQBOAEUATABMAEkAIABEAEkAQQBaAAAABgAAAAMAAAAEAAAACQAAAAYAAAAHAAAABwAAAAMAAAAHAAAABwAAAAQAAAADAAAAAwAAAAYAAAAFAAAABwAAAAMAAAAHAAAABwAAAAMAAAAIAAAACQAAAAYAAAAKAAAAAwAAAAMAAAAHAAAACAAAAAYAAAAGAAAAAwAAAAgAAAAGAAAABQAAAAUAAAADAAAAAwAAAAgAAAADAAAABwAAAAYAAAAWAAAADAAAAAAAAAAlAAAADAAAAAIAAAAOAAAAFAAAAAAAAAAQAAAAFAAAAA==</Object>
  <Object Id="idInvalidSigLnImg">AQAAAGwAAAAAAAAAAAAAAP8AAAB/AAAAAAAAAAAAAADMGgAAaA0AACBFTUYAAAEAVCEAALEAAAAGAAAAAAAAAAAAAAAAAAAAAAUAANACAABXAQAAwQAAAAAAAAAAAAAAAAAAANg7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kKzV/X8AAACQrNX9fwAAcgBvAHMAbwAAADQM/n8AAFXfANX9fwAAcEg0DP5/AADMeI/V/X8AANAWAABpAGMAQAAAwP1/AAAAADQM/n8AACHiANX9fwAABAAAAAAAAABwSDQM/n8AAKC0z2uKAAAAzHiP1QAAAABIAAAA/n8AAMx4j9X9fwAAoJOs1f1/AAAAfY/V/X8AAAEAAAAAAAAAeKKP1f1/AAAAADQM/n8AAAAAAAAAAAAAAAAAAP5/AAD1////AAAAAAAAAAAAAAAAgKsL+DUCAAC4ts9rigAAAAAAAAAAAAAAGbbPa4oAAACczwDVZHYACAAAAAAlAAAADAAAAAEAAAAYAAAADAAAAP8AAAASAAAADAAAAAEAAAAeAAAAGAAAACIAAAAEAAAAcgAAABEAAAAlAAAADAAAAAEAAABUAAAAqAAAACMAAAAEAAAAcAAAABAAAAABAAAAAGDWQcdx1k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AAAAAAAAAADA0s9rigAAAJThANX9fwAAAAAAAAAAAAD40c9rigAAAHDTzvP9fwAAAAAAAAAAAABwVjQM/n8AAAkAAAAJAAAAAAAAAAAAAACU4QDV/X8AANAhAACKAAAAgFmvhzUCAABo089rigAAAEBl4Qr+fwAAAADPawAAAADI0OwK/n8AAAAAAAAAAAAADANL9jUCAABjAAAAAAAAAAAAAAAAAAAAAAAAAAAAAAA1Inulvx8AADIAAAAAAAAAMAkuiTUCAAAwDNf4NQIAAICrC/g1AgAAkNTPa4oAAAAAAAAAAAAAAAcAAAAAAAAAAAAAAAAAAADM089r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IAAAAAAAAAAMAAAAAAAAAAAAAAAAAAAAAAAAAAAAAAAAAKPY1AgAAmydeDv5/AABAAAAAAAAAAAAAAAA1AgAAKAAAAAAAAAAAAAAA/X8AAAAAAAA1AgAAIIBw+DUCAAACAAAA/X8AAKiBcPg1AgAAQGXhCv5/AAD4cfTTAAAAAMjQ7Ar+fwAAAAAAAAAAAAACAAAAAAAAAPANCI01AgAAAAAAAAAAAAAAAAAAAAAAABXieqW/HwAA8A0IjQAAAADoEqbU/X8AAOD///8AAAAAgKsL+DUCAADIFM5rigAAAAAAAAAAAAAABgAAAAAAAAAAAAAAAAAAAOwTzmtkdgAIAAAAACUAAAAMAAAAAwAAABgAAAAMAAAAAAAAABIAAAAMAAAAAQAAABYAAAAMAAAACAAAAFQAAABUAAAACgAAACcAAAAeAAAASgAAAAEAAAAAYNZBx3HW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K0AAABHAAAAKQAAADMAAACFAAAAFQAAACEA8AAAAAAAAAAAAAAAgD8AAAAAAAAAAAAAgD8AAAAAAAAAAAAAAAAAAAAAAAAAAAAAAAAAAAAAAAAAACUAAAAMAAAAAAAAgCgAAAAMAAAABAAAAFIAAABwAQAABAAAAPD///8AAAAAAAAAAAAAAACQAQAAAAAAAQAAAABzAGUAZwBvAGUAIAB1AGkAAAAAAAAAAAAAAAAAAAAAAAAAAAAAAAAAAAAAAAAAAAAAAAAAAAAAAAAAAAAAAAAAAAAAAODAf9T9fwAAAAAAAP1/AADgwH/U/X8AABSeAtQAAAAAAAgAAAAAAAAAAAAAAAAAABAeCI01AgAAAAAAAAAAAACIcK6RNQIAAMBJ6ow1AgAAiHCukTUCAAA2hvTT/X8AAJC5f9T9fwAAkLl/1P1/AABAZeEK/n8AAMBJ6owAAAAAyNDsCv5/AAAAAAAAAAAAAAAAAAD/////CAAAADUCAAAAAAAAAAAAAAAAAAAAAAAApeJ6pb8fAAAUngLUAAAAAJAczmuKAAAA8P///wAAAACAqwv4NQIAADgVzmuKAAAAAAAAAAAAAAAJAAAAAAAAAAAAAAAAAAAAXBTOa2R2AAgAAAAAJQAAAAwAAAAEAAAAGAAAAAwAAAAAAAAAEgAAAAwAAAABAAAAHgAAABgAAAApAAAAMwAAAK4AAABIAAAAJQAAAAwAAAAEAAAAVAAAAMQAAAAqAAAAMwAAAKwAAABHAAAAAQAAAABg1kHHcdZBKgAAADMAAAAUAAAATAAAAAAAAAAAAAAAAAAAAP//////////dAAAAE0AZwAgAEUAbAB2AGkAcgBhACAAUgB1AGYAZgBpAG4AZQBsAGwAaQAOAAAACQAAAAQAAAAIAAAABAAAAAgAAAAEAAAABgAAAAgAAAAEAAAACgAAAAkAAAAFAAAABQAAAAQAAAAJAAAACAAAAAQAAAAEAAAAB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QAAAACgAAAFAAAABpAAAAXAAAAAEAAAAAYNZBx3HWQQoAAABQAAAAFgAAAEwAAAAAAAAAAAAAAAAAAAD//////////3gAAABMAGkAYwAuACAARQBsAHYAaQByAGEAIABSAHUAZgBmAGkAbgBlAGwAbABpAAUAAAADAAAABQAAAAMAAAADAAAABgAAAAMAAAAFAAAAAwAAAAQAAAAGAAAAAwAAAAcAAAAHAAAABAAAAAQAAAADAAAABwAAAAYAAAADAAAAAwAAAAM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B8AAAACgAAAGAAAAA6AAAAbAAAAAEAAAAAYNZBx3HWQQoAAABgAAAACAAAAEwAAAAAAAAAAAAAAAAAAAD//////////1wAAABDAG8AbgB0AGEAZABvAHIABwAAAAcAAAAHAAAABAAAAAYAAAAHAAAABwAAAAQAAABLAAAAQAAAADAAAAAFAAAAIAAAAAEAAAABAAAAEAAAAAAAAAAAAAAAAAEAAIAAAAAAAAAAAAAAAAABAACAAAAAJQAAAAwAAAACAAAAJwAAABgAAAAFAAAAAAAAAP///wAAAAAAJQAAAAwAAAAFAAAATAAAAGQAAAAJAAAAcAAAAPAAAAB8AAAACQAAAHAAAADoAAAADQAAACEA8AAAAAAAAAAAAAAAgD8AAAAAAAAAAAAAgD8AAAAAAAAAAAAAAAAAAAAAAAAAAAAAAAAAAAAAAAAAACUAAAAMAAAAAAAAgCgAAAAMAAAABQAAACUAAAAMAAAAAQAAABgAAAAMAAAAAAAAABIAAAAMAAAAAQAAABYAAAAMAAAAAAAAAFQAAABEAQAACgAAAHAAAADvAAAAfAAAAAEAAAAAYNZBx3HWQQoAAABwAAAAKQAAAEwAAAAEAAAACQAAAHAAAADxAAAAfQAAAKAAAABGAGkAcgBtAGEAZABvACAAcABvAHIAOgAgAEUATABWAEkAUgBBACAATgBPAEUATQBJACAAUgBVAEYARgBJAE4ARQBMAEwASQAgAEQASQBBAFoAAAAGAAAAAwAAAAQAAAAJAAAABgAAAAcAAAAHAAAAAwAAAAcAAAAHAAAABAAAAAMAAAADAAAABgAAAAUAAAAHAAAAAwAAAAcAAAAHAAAAAwAAAAgAAAAJAAAABgAAAAoAAAADAAAAAwAAAAcAAAAIAAAABgAAAAYAAAADAAAACAAAAAYAAAAFAAAABQAAAAMAAAADAAAACAAAAAMAAAAHAAAABgAAABYAAAAMAAAAAAAAACUAAAAMAAAAAgAAAA4AAAAUAAAAAAAAABAAAAAUAAAA</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2A04D5FD80433458B2C003629D34133" ma:contentTypeVersion="15" ma:contentTypeDescription="Crear nuevo documento." ma:contentTypeScope="" ma:versionID="0f277538ebec512c565ac7d4422e7b0d">
  <xsd:schema xmlns:xsd="http://www.w3.org/2001/XMLSchema" xmlns:xs="http://www.w3.org/2001/XMLSchema" xmlns:p="http://schemas.microsoft.com/office/2006/metadata/properties" xmlns:ns2="d5845aff-2e4f-4185-9b6c-b7ccf4ea8de4" xmlns:ns3="2e8945e0-4060-434a-9296-88ec39959342" targetNamespace="http://schemas.microsoft.com/office/2006/metadata/properties" ma:root="true" ma:fieldsID="21b677b76e38fdf8e757791de32346d1" ns2:_="" ns3:_="">
    <xsd:import namespace="d5845aff-2e4f-4185-9b6c-b7ccf4ea8de4"/>
    <xsd:import namespace="2e8945e0-4060-434a-9296-88ec3995934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845aff-2e4f-4185-9b6c-b7ccf4ea8d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bf57b533-a176-4645-b33c-7fea236c2aa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8945e0-4060-434a-9296-88ec3995934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5fa4682-f683-46b7-8aa9-acd6744f51ed}" ma:internalName="TaxCatchAll" ma:showField="CatchAllData" ma:web="2e8945e0-4060-434a-9296-88ec3995934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0892E6-D07E-40D5-9560-0999161D1C72}"/>
</file>

<file path=customXml/itemProps2.xml><?xml version="1.0" encoding="utf-8"?>
<ds:datastoreItem xmlns:ds="http://schemas.openxmlformats.org/officeDocument/2006/customXml" ds:itemID="{1639E9C5-5AB8-4C34-B8AC-008072B899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52</vt:i4>
      </vt:variant>
      <vt:variant>
        <vt:lpstr>Rangos con nombre</vt:lpstr>
      </vt:variant>
      <vt:variant>
        <vt:i4>45</vt:i4>
      </vt:variant>
    </vt:vector>
  </HeadingPairs>
  <TitlesOfParts>
    <vt:vector size="97" baseType="lpstr">
      <vt:lpstr>Indice</vt:lpstr>
      <vt:lpstr>BG</vt:lpstr>
      <vt:lpstr>ER</vt:lpstr>
      <vt:lpstr>EFE</vt:lpstr>
      <vt:lpstr>EVPN</vt:lpstr>
      <vt:lpstr>Calc.Aux.</vt:lpstr>
      <vt:lpstr>3 años</vt:lpstr>
      <vt:lpstr>2023</vt:lpstr>
      <vt:lpstr>2022</vt:lpstr>
      <vt:lpstr>Nota1</vt:lpstr>
      <vt:lpstr>Nota 2</vt:lpstr>
      <vt:lpstr>Nota 3</vt:lpstr>
      <vt:lpstr>Nota 4</vt:lpstr>
      <vt:lpstr>2024</vt:lpstr>
      <vt:lpstr>Nota 5</vt:lpstr>
      <vt:lpstr>Nota 6</vt:lpstr>
      <vt:lpstr>Nota 7</vt:lpstr>
      <vt:lpstr>Nota 8</vt:lpstr>
      <vt:lpstr>Nota 9</vt:lpstr>
      <vt:lpstr>Nota 10</vt:lpstr>
      <vt:lpstr>Nota 11</vt:lpstr>
      <vt:lpstr>Nota 12</vt:lpstr>
      <vt:lpstr>Nota 13</vt:lpstr>
      <vt:lpstr>Nota 14</vt:lpstr>
      <vt:lpstr>Nota 15</vt:lpstr>
      <vt:lpstr>Nota 16</vt:lpstr>
      <vt:lpstr>Nota 17</vt:lpstr>
      <vt:lpstr>Nota 18</vt:lpstr>
      <vt:lpstr>Nota 19</vt:lpstr>
      <vt:lpstr>Nota 20</vt:lpstr>
      <vt:lpstr> Nota 21</vt:lpstr>
      <vt:lpstr>Nota 22</vt:lpstr>
      <vt:lpstr>Nota 23</vt:lpstr>
      <vt:lpstr>Nota 24</vt:lpstr>
      <vt:lpstr>Nota 25</vt:lpstr>
      <vt:lpstr>Nota 26</vt:lpstr>
      <vt:lpstr>Detalle 27</vt:lpstr>
      <vt:lpstr>Nota 27</vt:lpstr>
      <vt:lpstr>Nota 28</vt:lpstr>
      <vt:lpstr>Nota 29</vt:lpstr>
      <vt:lpstr>Nota 30</vt:lpstr>
      <vt:lpstr>Nota 31</vt:lpstr>
      <vt:lpstr>Nota 32</vt:lpstr>
      <vt:lpstr>Nota 33</vt:lpstr>
      <vt:lpstr>Nota 34</vt:lpstr>
      <vt:lpstr>Nota 35</vt:lpstr>
      <vt:lpstr>Nota 36</vt:lpstr>
      <vt:lpstr>Nota 37</vt:lpstr>
      <vt:lpstr>Nota 38</vt:lpstr>
      <vt:lpstr>Nota 39</vt:lpstr>
      <vt:lpstr>Nota 40</vt:lpstr>
      <vt:lpstr>Base de Monedas</vt:lpstr>
      <vt:lpstr>' Nota 21'!Área_de_impresión</vt:lpstr>
      <vt:lpstr>BG!Área_de_impresión</vt:lpstr>
      <vt:lpstr>EFE!Área_de_impresión</vt:lpstr>
      <vt:lpstr>ER!Área_de_impresión</vt:lpstr>
      <vt:lpstr>EVPN!Área_de_impresión</vt:lpstr>
      <vt:lpstr>Indice!Área_de_impresión</vt:lpstr>
      <vt:lpstr>'Nota 10'!Área_de_impresión</vt:lpstr>
      <vt:lpstr>'Nota 11'!Área_de_impresión</vt:lpstr>
      <vt:lpstr>'Nota 12'!Área_de_impresión</vt:lpstr>
      <vt:lpstr>'Nota 13'!Área_de_impresión</vt:lpstr>
      <vt:lpstr>'Nota 14'!Área_de_impresión</vt:lpstr>
      <vt:lpstr>'Nota 15'!Área_de_impresión</vt:lpstr>
      <vt:lpstr>'Nota 16'!Área_de_impresión</vt:lpstr>
      <vt:lpstr>'Nota 17'!Área_de_impresión</vt:lpstr>
      <vt:lpstr>'Nota 18'!Área_de_impresión</vt:lpstr>
      <vt:lpstr>'Nota 19'!Área_de_impresión</vt:lpstr>
      <vt:lpstr>'Nota 2'!Área_de_impresión</vt:lpstr>
      <vt:lpstr>'Nota 20'!Área_de_impresión</vt:lpstr>
      <vt:lpstr>'Nota 22'!Área_de_impresión</vt:lpstr>
      <vt:lpstr>'Nota 23'!Área_de_impresión</vt:lpstr>
      <vt:lpstr>'Nota 24'!Área_de_impresión</vt:lpstr>
      <vt:lpstr>'Nota 25'!Área_de_impresión</vt:lpstr>
      <vt:lpstr>'Nota 26'!Área_de_impresión</vt:lpstr>
      <vt:lpstr>'Nota 27'!Área_de_impresión</vt:lpstr>
      <vt:lpstr>'Nota 28'!Área_de_impresión</vt:lpstr>
      <vt:lpstr>'Nota 29'!Área_de_impresión</vt:lpstr>
      <vt:lpstr>'Nota 3'!Área_de_impresión</vt:lpstr>
      <vt:lpstr>'Nota 30'!Área_de_impresión</vt:lpstr>
      <vt:lpstr>'Nota 31'!Área_de_impresión</vt:lpstr>
      <vt:lpstr>'Nota 32'!Área_de_impresión</vt:lpstr>
      <vt:lpstr>'Nota 33'!Área_de_impresión</vt:lpstr>
      <vt:lpstr>'Nota 34'!Área_de_impresión</vt:lpstr>
      <vt:lpstr>'Nota 35'!Área_de_impresión</vt:lpstr>
      <vt:lpstr>'Nota 36'!Área_de_impresión</vt:lpstr>
      <vt:lpstr>'Nota 37'!Área_de_impresión</vt:lpstr>
      <vt:lpstr>'Nota 38'!Área_de_impresión</vt:lpstr>
      <vt:lpstr>'Nota 39'!Área_de_impresión</vt:lpstr>
      <vt:lpstr>'Nota 4'!Área_de_impresión</vt:lpstr>
      <vt:lpstr>'Nota 40'!Área_de_impresión</vt:lpstr>
      <vt:lpstr>'Nota 5'!Área_de_impresión</vt:lpstr>
      <vt:lpstr>'Nota 6'!Área_de_impresión</vt:lpstr>
      <vt:lpstr>'Nota 7'!Área_de_impresión</vt:lpstr>
      <vt:lpstr>'Nota 8'!Área_de_impresión</vt:lpstr>
      <vt:lpstr>'Nota 9'!Área_de_impresión</vt:lpstr>
      <vt:lpstr>Nota1!Área_de_impresión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DPBM</dc:creator>
  <cp:lastModifiedBy>user</cp:lastModifiedBy>
  <cp:lastPrinted>2023-06-06T14:47:22Z</cp:lastPrinted>
  <dcterms:created xsi:type="dcterms:W3CDTF">2021-07-16T13:18:49Z</dcterms:created>
  <dcterms:modified xsi:type="dcterms:W3CDTF">2024-05-28T21:10:23Z</dcterms:modified>
</cp:coreProperties>
</file>